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F:\Plan de acción 2019\"/>
    </mc:Choice>
  </mc:AlternateContent>
  <xr:revisionPtr revIDLastSave="0" documentId="8_{972E9863-5760-4B4F-8D64-77AC7A0D27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(2)" sheetId="14" r:id="rId1"/>
    <sheet name="2017" sheetId="1" r:id="rId2"/>
    <sheet name="2017 (semestres)" sheetId="7" r:id="rId3"/>
    <sheet name="ACUMULADO" sheetId="3" r:id="rId4"/>
    <sheet name="2018" sheetId="8" r:id="rId5"/>
    <sheet name="2018 (semestres)" sheetId="9" r:id="rId6"/>
    <sheet name="2019" sheetId="12" r:id="rId7"/>
    <sheet name="2019 (semestres)" sheetId="13" r:id="rId8"/>
    <sheet name="PRESUPUESTAL" sheetId="6" r:id="rId9"/>
    <sheet name="EV. DEPEND" sheetId="11" r:id="rId10"/>
    <sheet name="X DEPEND" sheetId="4" r:id="rId11"/>
    <sheet name="GRÁFICO" sheetId="2" r:id="rId12"/>
    <sheet name="Hoja1" sheetId="10" r:id="rId13"/>
    <sheet name="PPTO S.A.N.R" sheetId="5" r:id="rId14"/>
  </sheets>
  <definedNames>
    <definedName name="_xlnm.Print_Titles" localSheetId="1">'2017'!$4:$4</definedName>
    <definedName name="_xlnm.Print_Titles" localSheetId="2">'2017 (semestres)'!$5:$5</definedName>
    <definedName name="_xlnm.Print_Titles" localSheetId="4">'2018'!$4:$4</definedName>
    <definedName name="_xlnm.Print_Titles" localSheetId="5">'2018 (semestres)'!$5:$5</definedName>
    <definedName name="_xlnm.Print_Titles" localSheetId="6">'2019'!$4:$4</definedName>
    <definedName name="_xlnm.Print_Titles" localSheetId="0">'2019 (2)'!$4:$4</definedName>
    <definedName name="_xlnm.Print_Titles" localSheetId="7">'2019 (semestres)'!$5:$5</definedName>
    <definedName name="_xlnm.Print_Titles" localSheetId="3">ACUMULADO!$5:$5</definedName>
    <definedName name="_xlnm.Print_Titles" localSheetId="9">'EV. DEPEND'!$5:$5</definedName>
    <definedName name="_xlnm.Print_Titles" localSheetId="11">GRÁFICO!$1:$1</definedName>
    <definedName name="_xlnm.Print_Titles" localSheetId="10">'X DEPEND'!$5:$5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14" l="1"/>
  <c r="F41" i="14"/>
  <c r="F34" i="14"/>
  <c r="F21" i="14"/>
  <c r="F16" i="14"/>
  <c r="F13" i="14"/>
  <c r="F8" i="14"/>
  <c r="F6" i="14"/>
  <c r="G48" i="13" l="1"/>
  <c r="C48" i="13"/>
  <c r="G23" i="13" l="1"/>
  <c r="G22" i="13"/>
  <c r="G33" i="13"/>
  <c r="G36" i="13"/>
  <c r="G10" i="13"/>
  <c r="G11" i="13"/>
  <c r="G25" i="13"/>
  <c r="G19" i="13"/>
  <c r="G18" i="13"/>
  <c r="G20" i="13"/>
  <c r="G47" i="13"/>
  <c r="G42" i="13"/>
  <c r="G29" i="13"/>
  <c r="G32" i="13"/>
  <c r="G31" i="13"/>
  <c r="C32" i="13"/>
  <c r="G38" i="13"/>
  <c r="L48" i="13"/>
  <c r="G40" i="13"/>
  <c r="X39" i="3"/>
  <c r="X51" i="3"/>
  <c r="X50" i="3"/>
  <c r="X49" i="3"/>
  <c r="X48" i="3"/>
  <c r="X47" i="3"/>
  <c r="X46" i="3"/>
  <c r="X45" i="3"/>
  <c r="X44" i="3"/>
  <c r="X43" i="3"/>
  <c r="X42" i="3"/>
  <c r="X40" i="3"/>
  <c r="X38" i="3"/>
  <c r="X37" i="3"/>
  <c r="X36" i="3"/>
  <c r="X35" i="3"/>
  <c r="X33" i="3"/>
  <c r="X32" i="3"/>
  <c r="X31" i="3"/>
  <c r="X30" i="3"/>
  <c r="X29" i="3"/>
  <c r="X28" i="3"/>
  <c r="X27" i="3"/>
  <c r="X26" i="3"/>
  <c r="X25" i="3"/>
  <c r="X24" i="3"/>
  <c r="X23" i="3"/>
  <c r="X22" i="3"/>
  <c r="X20" i="3"/>
  <c r="X19" i="3"/>
  <c r="X18" i="3"/>
  <c r="X17" i="3"/>
  <c r="X15" i="3"/>
  <c r="X14" i="3"/>
  <c r="X12" i="3"/>
  <c r="X11" i="3"/>
  <c r="X10" i="3"/>
  <c r="X9" i="3"/>
  <c r="X7" i="3"/>
  <c r="C42" i="13"/>
  <c r="C39" i="13"/>
  <c r="C36" i="13"/>
  <c r="C28" i="13"/>
  <c r="C22" i="13"/>
  <c r="C18" i="13"/>
  <c r="C19" i="13"/>
  <c r="G12" i="13"/>
  <c r="C12" i="13"/>
  <c r="G51" i="13"/>
  <c r="G50" i="13"/>
  <c r="G46" i="13"/>
  <c r="G45" i="13"/>
  <c r="G43" i="13"/>
  <c r="G39" i="13"/>
  <c r="G37" i="13"/>
  <c r="G35" i="13"/>
  <c r="G30" i="13"/>
  <c r="G28" i="13"/>
  <c r="G17" i="13"/>
  <c r="L32" i="13" l="1"/>
  <c r="G27" i="13"/>
  <c r="G26" i="13"/>
  <c r="G24" i="13"/>
  <c r="G9" i="13"/>
  <c r="C9" i="13"/>
  <c r="E114" i="2" l="1"/>
  <c r="AB9" i="6" l="1"/>
  <c r="AB42" i="6"/>
  <c r="AB35" i="6"/>
  <c r="AB22" i="6"/>
  <c r="AG51" i="6"/>
  <c r="AG50" i="6"/>
  <c r="AG49" i="6"/>
  <c r="AG48" i="6"/>
  <c r="AG47" i="6"/>
  <c r="AG46" i="6"/>
  <c r="AG45" i="6"/>
  <c r="AG44" i="6"/>
  <c r="AG43" i="6"/>
  <c r="AG42" i="6"/>
  <c r="AG40" i="6"/>
  <c r="AG39" i="6"/>
  <c r="AG38" i="6"/>
  <c r="AG37" i="6"/>
  <c r="AG36" i="6"/>
  <c r="AG35" i="6"/>
  <c r="AG32" i="6"/>
  <c r="AG33" i="6"/>
  <c r="AG31" i="6"/>
  <c r="AG30" i="6"/>
  <c r="AG29" i="6"/>
  <c r="AG28" i="6"/>
  <c r="AG27" i="6"/>
  <c r="AG26" i="6"/>
  <c r="AG25" i="6"/>
  <c r="AG24" i="6"/>
  <c r="AG23" i="6"/>
  <c r="AG22" i="6"/>
  <c r="AG20" i="6"/>
  <c r="AG19" i="6"/>
  <c r="AG18" i="6"/>
  <c r="AG17" i="6"/>
  <c r="AG15" i="6"/>
  <c r="AG14" i="6"/>
  <c r="AG12" i="6"/>
  <c r="AG11" i="6"/>
  <c r="AG10" i="6"/>
  <c r="AG9" i="6"/>
  <c r="AG7" i="6"/>
  <c r="AH7" i="6" s="1"/>
  <c r="AB17" i="6"/>
  <c r="AB14" i="6"/>
  <c r="AA48" i="6"/>
  <c r="AA45" i="6"/>
  <c r="AA51" i="6"/>
  <c r="AA50" i="6"/>
  <c r="AA49" i="6"/>
  <c r="AA47" i="6"/>
  <c r="AA46" i="6"/>
  <c r="AA44" i="6"/>
  <c r="AA43" i="6"/>
  <c r="AA42" i="6"/>
  <c r="AA38" i="6"/>
  <c r="AA36" i="6"/>
  <c r="AA37" i="6"/>
  <c r="AA39" i="6"/>
  <c r="AA40" i="6"/>
  <c r="AB7" i="6"/>
  <c r="AA35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0" i="6"/>
  <c r="AA19" i="6"/>
  <c r="AA18" i="6"/>
  <c r="AA17" i="6"/>
  <c r="AA15" i="6"/>
  <c r="AA14" i="6"/>
  <c r="AA12" i="6"/>
  <c r="AA11" i="6"/>
  <c r="AA10" i="6"/>
  <c r="AA9" i="6"/>
  <c r="AI22" i="6" l="1"/>
  <c r="Y7" i="6" l="1"/>
  <c r="Y42" i="6"/>
  <c r="AC42" i="6" s="1"/>
  <c r="AA7" i="6" l="1"/>
  <c r="AC7" i="6"/>
  <c r="Y35" i="6"/>
  <c r="AC35" i="6" s="1"/>
  <c r="Y22" i="6"/>
  <c r="AC22" i="6" s="1"/>
  <c r="Y17" i="6"/>
  <c r="AC17" i="6" s="1"/>
  <c r="Y9" i="6"/>
  <c r="AC9" i="6" s="1"/>
  <c r="Y14" i="6"/>
  <c r="AC14" i="6" s="1"/>
  <c r="X53" i="6" l="1"/>
  <c r="AC53" i="6"/>
  <c r="U42" i="3" l="1"/>
  <c r="U35" i="3"/>
  <c r="U22" i="3"/>
  <c r="U17" i="3"/>
  <c r="U14" i="3"/>
  <c r="U9" i="3"/>
  <c r="U7" i="3"/>
  <c r="S53" i="3" l="1"/>
  <c r="C23" i="13"/>
  <c r="C113" i="2" l="1"/>
  <c r="C112" i="2"/>
  <c r="C110" i="2"/>
  <c r="C109" i="2"/>
  <c r="C108" i="2"/>
  <c r="C106" i="2"/>
  <c r="C105" i="2"/>
  <c r="C104" i="2"/>
  <c r="C103" i="2"/>
  <c r="C102" i="2"/>
  <c r="C101" i="2"/>
  <c r="C99" i="2"/>
  <c r="C98" i="2"/>
  <c r="C96" i="2"/>
  <c r="C95" i="2"/>
  <c r="C94" i="2"/>
  <c r="C93" i="2"/>
  <c r="C92" i="2"/>
  <c r="C91" i="2"/>
  <c r="C90" i="2"/>
  <c r="C87" i="2"/>
  <c r="C86" i="2"/>
  <c r="C83" i="2"/>
  <c r="C82" i="2"/>
  <c r="C79" i="2"/>
  <c r="C78" i="2"/>
  <c r="C76" i="2"/>
  <c r="C51" i="13" l="1"/>
  <c r="L51" i="13" s="1"/>
  <c r="C50" i="13"/>
  <c r="L50" i="13" s="1"/>
  <c r="L49" i="13"/>
  <c r="C47" i="13"/>
  <c r="L47" i="13" s="1"/>
  <c r="C46" i="13"/>
  <c r="L46" i="13" s="1"/>
  <c r="C45" i="13"/>
  <c r="L45" i="13" s="1"/>
  <c r="C44" i="13"/>
  <c r="L44" i="13" s="1"/>
  <c r="C43" i="13"/>
  <c r="L43" i="13" s="1"/>
  <c r="I42" i="13"/>
  <c r="L42" i="13"/>
  <c r="C40" i="13"/>
  <c r="L40" i="13" s="1"/>
  <c r="L39" i="13"/>
  <c r="C38" i="13"/>
  <c r="C37" i="13"/>
  <c r="L37" i="13" s="1"/>
  <c r="L36" i="13"/>
  <c r="I35" i="13"/>
  <c r="C35" i="13"/>
  <c r="L33" i="13"/>
  <c r="C33" i="13"/>
  <c r="C31" i="13"/>
  <c r="L31" i="13" s="1"/>
  <c r="C30" i="13"/>
  <c r="L30" i="13" s="1"/>
  <c r="C29" i="13"/>
  <c r="L29" i="13" s="1"/>
  <c r="L28" i="13"/>
  <c r="C27" i="13"/>
  <c r="L27" i="13" s="1"/>
  <c r="C26" i="13"/>
  <c r="L26" i="13" s="1"/>
  <c r="C25" i="13"/>
  <c r="L25" i="13" s="1"/>
  <c r="C24" i="13"/>
  <c r="L24" i="13" s="1"/>
  <c r="L23" i="13"/>
  <c r="I22" i="13"/>
  <c r="L22" i="13"/>
  <c r="C20" i="13"/>
  <c r="L20" i="13" s="1"/>
  <c r="L19" i="13"/>
  <c r="L18" i="13"/>
  <c r="I17" i="13"/>
  <c r="C17" i="13"/>
  <c r="L17" i="13" s="1"/>
  <c r="L15" i="13"/>
  <c r="C15" i="13"/>
  <c r="I14" i="13"/>
  <c r="C14" i="13"/>
  <c r="E14" i="13" s="1"/>
  <c r="L12" i="13"/>
  <c r="C11" i="13"/>
  <c r="C10" i="13"/>
  <c r="L10" i="13" s="1"/>
  <c r="L9" i="13"/>
  <c r="I9" i="13"/>
  <c r="L7" i="13"/>
  <c r="I7" i="13"/>
  <c r="N7" i="13" s="1"/>
  <c r="E7" i="13"/>
  <c r="F41" i="12"/>
  <c r="F34" i="12"/>
  <c r="F21" i="12"/>
  <c r="F16" i="12"/>
  <c r="F13" i="12"/>
  <c r="F8" i="12"/>
  <c r="F6" i="12"/>
  <c r="N14" i="13" l="1"/>
  <c r="E42" i="13"/>
  <c r="N42" i="13" s="1"/>
  <c r="E35" i="13"/>
  <c r="N35" i="13" s="1"/>
  <c r="E17" i="13"/>
  <c r="N17" i="13" s="1"/>
  <c r="E9" i="13"/>
  <c r="N9" i="13" s="1"/>
  <c r="F52" i="12"/>
  <c r="L14" i="13"/>
  <c r="E22" i="13"/>
  <c r="N22" i="13" s="1"/>
  <c r="L35" i="13"/>
  <c r="L11" i="13"/>
  <c r="E84" i="11"/>
  <c r="J84" i="11"/>
  <c r="P42" i="3"/>
  <c r="N53" i="13" l="1"/>
  <c r="B55" i="13"/>
  <c r="R94" i="11"/>
  <c r="T94" i="11" s="1"/>
  <c r="O94" i="11"/>
  <c r="J94" i="11"/>
  <c r="R92" i="11"/>
  <c r="R91" i="11"/>
  <c r="R90" i="11"/>
  <c r="R89" i="11"/>
  <c r="R88" i="11"/>
  <c r="R87" i="11"/>
  <c r="R86" i="11"/>
  <c r="R85" i="11"/>
  <c r="R84" i="11"/>
  <c r="O84" i="11"/>
  <c r="R82" i="11"/>
  <c r="R81" i="11"/>
  <c r="R80" i="11"/>
  <c r="R79" i="11"/>
  <c r="R78" i="11"/>
  <c r="R77" i="11"/>
  <c r="R76" i="11"/>
  <c r="R75" i="11"/>
  <c r="R74" i="11"/>
  <c r="R73" i="11"/>
  <c r="O73" i="11"/>
  <c r="J73" i="11"/>
  <c r="E73" i="11"/>
  <c r="R71" i="11"/>
  <c r="R70" i="11"/>
  <c r="R69" i="11"/>
  <c r="R68" i="11"/>
  <c r="R67" i="11"/>
  <c r="R66" i="11"/>
  <c r="R65" i="11"/>
  <c r="R64" i="11"/>
  <c r="R63" i="11"/>
  <c r="R62" i="11"/>
  <c r="R61" i="11"/>
  <c r="R60" i="11"/>
  <c r="R59" i="11"/>
  <c r="O59" i="11"/>
  <c r="J59" i="11"/>
  <c r="E59" i="11"/>
  <c r="R57" i="11"/>
  <c r="R56" i="11"/>
  <c r="R55" i="11"/>
  <c r="R54" i="11"/>
  <c r="R53" i="11"/>
  <c r="R52" i="11"/>
  <c r="O52" i="11"/>
  <c r="J52" i="11"/>
  <c r="E52" i="11"/>
  <c r="M44" i="11"/>
  <c r="H44" i="11"/>
  <c r="R44" i="11" s="1"/>
  <c r="M43" i="11"/>
  <c r="H43" i="11"/>
  <c r="R43" i="11" s="1"/>
  <c r="R42" i="11"/>
  <c r="M41" i="11"/>
  <c r="H41" i="11"/>
  <c r="R41" i="11" s="1"/>
  <c r="M40" i="11"/>
  <c r="H40" i="11"/>
  <c r="R40" i="11" s="1"/>
  <c r="M39" i="11"/>
  <c r="H39" i="11"/>
  <c r="R39" i="11" s="1"/>
  <c r="R38" i="11"/>
  <c r="M37" i="11"/>
  <c r="H37" i="11"/>
  <c r="R37" i="11" s="1"/>
  <c r="M36" i="11"/>
  <c r="H36" i="11"/>
  <c r="R36" i="11" s="1"/>
  <c r="M35" i="11"/>
  <c r="H35" i="11"/>
  <c r="R35" i="11" s="1"/>
  <c r="E35" i="11"/>
  <c r="M34" i="11"/>
  <c r="H34" i="11"/>
  <c r="R34" i="11" s="1"/>
  <c r="M33" i="11"/>
  <c r="H33" i="11"/>
  <c r="R33" i="11" s="1"/>
  <c r="M32" i="11"/>
  <c r="H32" i="11"/>
  <c r="R32" i="11" s="1"/>
  <c r="R31" i="11"/>
  <c r="M30" i="11"/>
  <c r="H30" i="11"/>
  <c r="R30" i="11" s="1"/>
  <c r="M29" i="11"/>
  <c r="H29" i="11"/>
  <c r="R29" i="11" s="1"/>
  <c r="E29" i="11"/>
  <c r="R28" i="11"/>
  <c r="M27" i="11"/>
  <c r="H27" i="11"/>
  <c r="R27" i="11" s="1"/>
  <c r="M26" i="11"/>
  <c r="H26" i="11"/>
  <c r="R26" i="11" s="1"/>
  <c r="M25" i="11"/>
  <c r="H25" i="11"/>
  <c r="R25" i="11" s="1"/>
  <c r="M24" i="11"/>
  <c r="H24" i="11"/>
  <c r="R24" i="11" s="1"/>
  <c r="R23" i="11"/>
  <c r="M23" i="11"/>
  <c r="H23" i="11"/>
  <c r="M22" i="11"/>
  <c r="H22" i="11"/>
  <c r="R22" i="11" s="1"/>
  <c r="M21" i="11"/>
  <c r="H21" i="11"/>
  <c r="R21" i="11" s="1"/>
  <c r="R20" i="11"/>
  <c r="R19" i="11"/>
  <c r="R18" i="11"/>
  <c r="M17" i="11"/>
  <c r="H17" i="11"/>
  <c r="R17" i="11" s="1"/>
  <c r="E17" i="11"/>
  <c r="R16" i="11"/>
  <c r="R15" i="11"/>
  <c r="M14" i="11"/>
  <c r="H14" i="11"/>
  <c r="R14" i="11" s="1"/>
  <c r="M13" i="11"/>
  <c r="H13" i="11"/>
  <c r="R13" i="11" s="1"/>
  <c r="E13" i="11"/>
  <c r="R12" i="11"/>
  <c r="R11" i="11"/>
  <c r="T11" i="11" s="1"/>
  <c r="O11" i="11"/>
  <c r="J11" i="11"/>
  <c r="E11" i="11"/>
  <c r="M10" i="11"/>
  <c r="H10" i="11"/>
  <c r="R10" i="11" s="1"/>
  <c r="R9" i="11"/>
  <c r="R8" i="11"/>
  <c r="M7" i="11"/>
  <c r="O7" i="11" s="1"/>
  <c r="H7" i="11"/>
  <c r="R7" i="11" s="1"/>
  <c r="E7" i="11"/>
  <c r="R6" i="11"/>
  <c r="J13" i="11" l="1"/>
  <c r="T52" i="11"/>
  <c r="O13" i="11"/>
  <c r="J7" i="11"/>
  <c r="T59" i="11"/>
  <c r="T29" i="11"/>
  <c r="T84" i="11"/>
  <c r="J17" i="11"/>
  <c r="O17" i="11"/>
  <c r="O29" i="11"/>
  <c r="J35" i="11"/>
  <c r="C45" i="11"/>
  <c r="J29" i="11"/>
  <c r="O35" i="11"/>
  <c r="T73" i="11"/>
  <c r="T7" i="11"/>
  <c r="T35" i="11"/>
  <c r="T13" i="11"/>
  <c r="T17" i="11"/>
  <c r="F34" i="8"/>
  <c r="G40" i="9"/>
  <c r="F6" i="8"/>
  <c r="M45" i="11" l="1"/>
  <c r="H45" i="11"/>
  <c r="R45" i="11"/>
  <c r="G42" i="9"/>
  <c r="G23" i="9"/>
  <c r="G9" i="9" l="1"/>
  <c r="G28" i="9" l="1"/>
  <c r="G29" i="9"/>
  <c r="G22" i="9" l="1"/>
  <c r="G38" i="9" l="1"/>
  <c r="L38" i="9" s="1"/>
  <c r="G27" i="9"/>
  <c r="P35" i="3" l="1"/>
  <c r="G32" i="9"/>
  <c r="G51" i="9" l="1"/>
  <c r="G50" i="9"/>
  <c r="G49" i="9"/>
  <c r="G47" i="9"/>
  <c r="G46" i="9"/>
  <c r="G45" i="9"/>
  <c r="G44" i="9"/>
  <c r="G43" i="9"/>
  <c r="G37" i="9"/>
  <c r="G36" i="9"/>
  <c r="G35" i="9"/>
  <c r="G33" i="9"/>
  <c r="C32" i="9"/>
  <c r="G31" i="9"/>
  <c r="G30" i="9"/>
  <c r="G26" i="9"/>
  <c r="I22" i="9" s="1"/>
  <c r="G25" i="9"/>
  <c r="G24" i="9"/>
  <c r="G20" i="9"/>
  <c r="G19" i="9"/>
  <c r="G18" i="9"/>
  <c r="G17" i="9"/>
  <c r="C17" i="9"/>
  <c r="G15" i="9"/>
  <c r="G14" i="9"/>
  <c r="G12" i="9"/>
  <c r="C11" i="9"/>
  <c r="C12" i="9"/>
  <c r="G11" i="9"/>
  <c r="G10" i="9"/>
  <c r="I9" i="9" s="1"/>
  <c r="G7" i="9"/>
  <c r="I7" i="9"/>
  <c r="I17" i="9" l="1"/>
  <c r="I14" i="9"/>
  <c r="I35" i="9"/>
  <c r="I42" i="9"/>
  <c r="C23" i="9" l="1"/>
  <c r="B34" i="5" l="1"/>
  <c r="F20" i="5"/>
  <c r="H20" i="5" s="1"/>
  <c r="D39" i="5"/>
  <c r="F39" i="5" s="1"/>
  <c r="D7" i="5"/>
  <c r="AH9" i="6" l="1"/>
  <c r="AI7" i="6"/>
  <c r="AE53" i="6"/>
  <c r="T42" i="6"/>
  <c r="T51" i="6"/>
  <c r="T50" i="6"/>
  <c r="T49" i="6"/>
  <c r="T48" i="6"/>
  <c r="T47" i="6"/>
  <c r="T46" i="6"/>
  <c r="T45" i="6"/>
  <c r="T44" i="6"/>
  <c r="T43" i="6"/>
  <c r="U42" i="6"/>
  <c r="U35" i="6"/>
  <c r="T40" i="6"/>
  <c r="T39" i="6"/>
  <c r="T38" i="6"/>
  <c r="T37" i="6"/>
  <c r="T36" i="6"/>
  <c r="T35" i="6"/>
  <c r="U22" i="6"/>
  <c r="AI14" i="6" l="1"/>
  <c r="AI17" i="6"/>
  <c r="AI9" i="6"/>
  <c r="AI42" i="6"/>
  <c r="AI35" i="6"/>
  <c r="AJ7" i="6"/>
  <c r="T33" i="6"/>
  <c r="T32" i="6"/>
  <c r="T31" i="6"/>
  <c r="T30" i="6"/>
  <c r="T29" i="6"/>
  <c r="T28" i="6"/>
  <c r="T27" i="6"/>
  <c r="T26" i="6"/>
  <c r="T25" i="6"/>
  <c r="T24" i="6"/>
  <c r="T23" i="6"/>
  <c r="T22" i="6"/>
  <c r="U17" i="6"/>
  <c r="T20" i="6"/>
  <c r="T19" i="6"/>
  <c r="T18" i="6"/>
  <c r="T17" i="6"/>
  <c r="U14" i="6"/>
  <c r="U7" i="6"/>
  <c r="U9" i="6"/>
  <c r="T14" i="6"/>
  <c r="T15" i="6"/>
  <c r="N7" i="6"/>
  <c r="T12" i="6"/>
  <c r="T11" i="6"/>
  <c r="T10" i="6"/>
  <c r="T9" i="6"/>
  <c r="T7" i="6"/>
  <c r="M7" i="6"/>
  <c r="AG53" i="6" l="1"/>
  <c r="AJ53" i="6" s="1"/>
  <c r="S53" i="6"/>
  <c r="R42" i="6"/>
  <c r="V42" i="6" s="1"/>
  <c r="R35" i="6" l="1"/>
  <c r="V35" i="6" s="1"/>
  <c r="R22" i="6"/>
  <c r="V22" i="6" s="1"/>
  <c r="R17" i="6"/>
  <c r="V17" i="6" s="1"/>
  <c r="M9" i="6"/>
  <c r="R14" i="6"/>
  <c r="V14" i="6" s="1"/>
  <c r="R7" i="6"/>
  <c r="R9" i="6"/>
  <c r="V9" i="6" s="1"/>
  <c r="N35" i="6"/>
  <c r="K9" i="6"/>
  <c r="Q53" i="6" l="1"/>
  <c r="V53" i="6" s="1"/>
  <c r="V7" i="6"/>
  <c r="L49" i="9"/>
  <c r="L48" i="9"/>
  <c r="L39" i="9"/>
  <c r="L7" i="9"/>
  <c r="C51" i="9"/>
  <c r="L51" i="9" s="1"/>
  <c r="C50" i="9"/>
  <c r="L50" i="9" s="1"/>
  <c r="C47" i="9"/>
  <c r="L47" i="9" s="1"/>
  <c r="C46" i="9"/>
  <c r="L46" i="9" s="1"/>
  <c r="C45" i="9"/>
  <c r="L45" i="9" s="1"/>
  <c r="C44" i="9"/>
  <c r="L44" i="9" s="1"/>
  <c r="C43" i="9"/>
  <c r="L43" i="9" s="1"/>
  <c r="C42" i="9"/>
  <c r="L42" i="9" s="1"/>
  <c r="C40" i="9"/>
  <c r="L40" i="9" s="1"/>
  <c r="C37" i="9"/>
  <c r="L37" i="9" s="1"/>
  <c r="C36" i="9"/>
  <c r="L36" i="9" s="1"/>
  <c r="C35" i="9"/>
  <c r="C33" i="9"/>
  <c r="L33" i="9" s="1"/>
  <c r="L32" i="9"/>
  <c r="C31" i="9"/>
  <c r="L31" i="9" s="1"/>
  <c r="C30" i="9"/>
  <c r="L30" i="9" s="1"/>
  <c r="C29" i="9"/>
  <c r="L29" i="9" s="1"/>
  <c r="C28" i="9"/>
  <c r="L28" i="9" s="1"/>
  <c r="C27" i="9"/>
  <c r="L27" i="9" s="1"/>
  <c r="C26" i="9"/>
  <c r="L26" i="9" s="1"/>
  <c r="C25" i="9"/>
  <c r="L25" i="9" s="1"/>
  <c r="C24" i="9"/>
  <c r="L24" i="9" s="1"/>
  <c r="L23" i="9"/>
  <c r="C22" i="9"/>
  <c r="L22" i="9" s="1"/>
  <c r="C20" i="9"/>
  <c r="L20" i="9" s="1"/>
  <c r="C19" i="9"/>
  <c r="L19" i="9" s="1"/>
  <c r="C18" i="9"/>
  <c r="L18" i="9" s="1"/>
  <c r="L17" i="9"/>
  <c r="C15" i="9"/>
  <c r="L15" i="9" s="1"/>
  <c r="C14" i="9"/>
  <c r="L14" i="9" s="1"/>
  <c r="L12" i="9"/>
  <c r="L11" i="9"/>
  <c r="C10" i="9"/>
  <c r="L10" i="9" s="1"/>
  <c r="C9" i="9"/>
  <c r="L9" i="9" s="1"/>
  <c r="E7" i="9"/>
  <c r="N7" i="9" s="1"/>
  <c r="E35" i="9" l="1"/>
  <c r="N35" i="9" s="1"/>
  <c r="E14" i="9"/>
  <c r="N14" i="9" s="1"/>
  <c r="P22" i="3"/>
  <c r="L35" i="9"/>
  <c r="P14" i="3"/>
  <c r="E42" i="9"/>
  <c r="N42" i="9" s="1"/>
  <c r="P9" i="3"/>
  <c r="P17" i="3"/>
  <c r="E22" i="9"/>
  <c r="N22" i="9" s="1"/>
  <c r="E9" i="9"/>
  <c r="E17" i="9"/>
  <c r="N17" i="9" s="1"/>
  <c r="F41" i="8"/>
  <c r="F13" i="8"/>
  <c r="F8" i="8" l="1"/>
  <c r="N53" i="3"/>
  <c r="N9" i="9"/>
  <c r="N53" i="9" s="1"/>
  <c r="B55" i="9"/>
  <c r="F21" i="8"/>
  <c r="F16" i="8"/>
  <c r="Z35" i="3"/>
  <c r="Z22" i="3"/>
  <c r="Z17" i="3"/>
  <c r="Z9" i="3"/>
  <c r="Z7" i="3"/>
  <c r="F52" i="8" l="1"/>
  <c r="M94" i="4"/>
  <c r="O94" i="4" s="1"/>
  <c r="J94" i="4"/>
  <c r="M92" i="4"/>
  <c r="M91" i="4"/>
  <c r="M88" i="4"/>
  <c r="M89" i="4"/>
  <c r="M90" i="4"/>
  <c r="M86" i="4"/>
  <c r="M87" i="4"/>
  <c r="M85" i="4"/>
  <c r="M84" i="4"/>
  <c r="M83" i="4"/>
  <c r="M77" i="4"/>
  <c r="M81" i="4"/>
  <c r="M80" i="4"/>
  <c r="M79" i="4"/>
  <c r="M78" i="4"/>
  <c r="M76" i="4"/>
  <c r="M75" i="4"/>
  <c r="M74" i="4"/>
  <c r="M73" i="4"/>
  <c r="M70" i="4"/>
  <c r="M71" i="4"/>
  <c r="M69" i="4"/>
  <c r="M68" i="4"/>
  <c r="M67" i="4"/>
  <c r="M66" i="4"/>
  <c r="M65" i="4"/>
  <c r="M64" i="4"/>
  <c r="M63" i="4"/>
  <c r="M62" i="4"/>
  <c r="M61" i="4"/>
  <c r="M60" i="4"/>
  <c r="M59" i="4"/>
  <c r="M57" i="4"/>
  <c r="M56" i="4"/>
  <c r="M55" i="4"/>
  <c r="M54" i="4"/>
  <c r="M53" i="4"/>
  <c r="M52" i="4"/>
  <c r="O52" i="4" l="1"/>
  <c r="O59" i="4"/>
  <c r="O83" i="4"/>
  <c r="L30" i="7"/>
  <c r="C51" i="7" l="1"/>
  <c r="L51" i="7" s="1"/>
  <c r="L49" i="7"/>
  <c r="L45" i="7"/>
  <c r="L42" i="7"/>
  <c r="L38" i="7"/>
  <c r="L37" i="7"/>
  <c r="L35" i="7"/>
  <c r="L33" i="7"/>
  <c r="L32" i="7"/>
  <c r="L31" i="7"/>
  <c r="L29" i="7"/>
  <c r="L28" i="7"/>
  <c r="L26" i="7"/>
  <c r="L25" i="7"/>
  <c r="L24" i="7"/>
  <c r="L23" i="7"/>
  <c r="L22" i="7"/>
  <c r="L19" i="7"/>
  <c r="L20" i="7"/>
  <c r="G17" i="7"/>
  <c r="I17" i="7" s="1"/>
  <c r="L11" i="7"/>
  <c r="N9" i="7" s="1"/>
  <c r="I9" i="7" l="1"/>
  <c r="N14" i="7"/>
  <c r="L7" i="7"/>
  <c r="E14" i="7"/>
  <c r="E9" i="7"/>
  <c r="E7" i="7"/>
  <c r="C50" i="7"/>
  <c r="L50" i="7" s="1"/>
  <c r="C48" i="7"/>
  <c r="L48" i="7" s="1"/>
  <c r="C47" i="7"/>
  <c r="L47" i="7" s="1"/>
  <c r="C46" i="7"/>
  <c r="L46" i="7" s="1"/>
  <c r="C44" i="7"/>
  <c r="L44" i="7" s="1"/>
  <c r="C43" i="7"/>
  <c r="L43" i="7" s="1"/>
  <c r="C40" i="7"/>
  <c r="L40" i="7" s="1"/>
  <c r="C39" i="7"/>
  <c r="L39" i="7" s="1"/>
  <c r="C36" i="7"/>
  <c r="L36" i="7" s="1"/>
  <c r="C27" i="7"/>
  <c r="L27" i="7" s="1"/>
  <c r="N22" i="7" s="1"/>
  <c r="C18" i="7"/>
  <c r="L18" i="7" s="1"/>
  <c r="C17" i="7"/>
  <c r="L17" i="7" s="1"/>
  <c r="I42" i="7"/>
  <c r="I35" i="7"/>
  <c r="I22" i="7"/>
  <c r="I14" i="7"/>
  <c r="N35" i="7" l="1"/>
  <c r="N17" i="7"/>
  <c r="E35" i="7"/>
  <c r="N42" i="7"/>
  <c r="E42" i="7"/>
  <c r="E17" i="7"/>
  <c r="E22" i="7"/>
  <c r="F13" i="1"/>
  <c r="F8" i="1"/>
  <c r="D6" i="1"/>
  <c r="N53" i="7" l="1"/>
  <c r="B55" i="7"/>
  <c r="C53" i="6"/>
  <c r="M28" i="6"/>
  <c r="J53" i="6" l="1"/>
  <c r="AH51" i="6"/>
  <c r="M51" i="6"/>
  <c r="F51" i="6"/>
  <c r="AH50" i="6"/>
  <c r="M50" i="6"/>
  <c r="F50" i="6"/>
  <c r="AH49" i="6"/>
  <c r="M49" i="6"/>
  <c r="AH48" i="6"/>
  <c r="F48" i="6"/>
  <c r="AH47" i="6"/>
  <c r="M47" i="6"/>
  <c r="F47" i="6"/>
  <c r="AH46" i="6"/>
  <c r="M46" i="6"/>
  <c r="F46" i="6"/>
  <c r="AH45" i="6"/>
  <c r="M45" i="6"/>
  <c r="AH44" i="6"/>
  <c r="M44" i="6"/>
  <c r="F44" i="6"/>
  <c r="AH43" i="6"/>
  <c r="M43" i="6"/>
  <c r="F43" i="6"/>
  <c r="AF42" i="6"/>
  <c r="M42" i="6"/>
  <c r="K42" i="6"/>
  <c r="G42" i="6"/>
  <c r="F42" i="6"/>
  <c r="D42" i="6"/>
  <c r="AH40" i="6"/>
  <c r="M40" i="6"/>
  <c r="F40" i="6"/>
  <c r="AH39" i="6"/>
  <c r="M39" i="6"/>
  <c r="F39" i="6"/>
  <c r="AH38" i="6"/>
  <c r="M38" i="6"/>
  <c r="F38" i="6"/>
  <c r="AH37" i="6"/>
  <c r="M37" i="6"/>
  <c r="AH36" i="6"/>
  <c r="M36" i="6"/>
  <c r="F36" i="6"/>
  <c r="AF35" i="6"/>
  <c r="K35" i="6"/>
  <c r="O35" i="6" s="1"/>
  <c r="G35" i="6"/>
  <c r="F35" i="6"/>
  <c r="D35" i="6"/>
  <c r="AH33" i="6"/>
  <c r="M33" i="6"/>
  <c r="F33" i="6"/>
  <c r="AH32" i="6"/>
  <c r="M32" i="6"/>
  <c r="F32" i="6"/>
  <c r="AH31" i="6"/>
  <c r="M31" i="6"/>
  <c r="F31" i="6"/>
  <c r="AH30" i="6"/>
  <c r="M30" i="6"/>
  <c r="F30" i="6"/>
  <c r="AH29" i="6"/>
  <c r="M29" i="6"/>
  <c r="F29" i="6"/>
  <c r="AH28" i="6"/>
  <c r="F28" i="6"/>
  <c r="AH27" i="6"/>
  <c r="M27" i="6"/>
  <c r="F27" i="6"/>
  <c r="M26" i="6"/>
  <c r="F26" i="6"/>
  <c r="AH25" i="6"/>
  <c r="M25" i="6"/>
  <c r="F25" i="6"/>
  <c r="AH24" i="6"/>
  <c r="M24" i="6"/>
  <c r="D22" i="6"/>
  <c r="AH23" i="6"/>
  <c r="M23" i="6"/>
  <c r="F23" i="6"/>
  <c r="AF22" i="6"/>
  <c r="K22" i="6"/>
  <c r="G22" i="6"/>
  <c r="AH20" i="6"/>
  <c r="M20" i="6"/>
  <c r="F20" i="6"/>
  <c r="AH19" i="6"/>
  <c r="M19" i="6"/>
  <c r="F19" i="6"/>
  <c r="AH18" i="6"/>
  <c r="M18" i="6"/>
  <c r="F18" i="6"/>
  <c r="AF17" i="6"/>
  <c r="K17" i="6"/>
  <c r="G17" i="6"/>
  <c r="F17" i="6"/>
  <c r="D17" i="6"/>
  <c r="AH15" i="6"/>
  <c r="M15" i="6"/>
  <c r="F15" i="6"/>
  <c r="AF14" i="6"/>
  <c r="N14" i="6"/>
  <c r="M14" i="6"/>
  <c r="K14" i="6"/>
  <c r="G14" i="6"/>
  <c r="F14" i="6"/>
  <c r="D14" i="6"/>
  <c r="AH12" i="6"/>
  <c r="M12" i="6"/>
  <c r="F12" i="6"/>
  <c r="AH11" i="6"/>
  <c r="M11" i="6"/>
  <c r="F11" i="6"/>
  <c r="F10" i="6"/>
  <c r="AF9" i="6"/>
  <c r="N9" i="6"/>
  <c r="O9" i="6" s="1"/>
  <c r="G9" i="6"/>
  <c r="F9" i="6"/>
  <c r="K7" i="6"/>
  <c r="O14" i="6" l="1"/>
  <c r="AJ14" i="6"/>
  <c r="O7" i="6"/>
  <c r="AJ42" i="6"/>
  <c r="N22" i="6"/>
  <c r="O22" i="6" s="1"/>
  <c r="E53" i="6"/>
  <c r="H53" i="6" s="1"/>
  <c r="H42" i="6"/>
  <c r="H35" i="6"/>
  <c r="H22" i="6"/>
  <c r="F24" i="6"/>
  <c r="H17" i="6"/>
  <c r="H14" i="6"/>
  <c r="AH22" i="6"/>
  <c r="AJ17" i="6"/>
  <c r="AH17" i="6"/>
  <c r="AH10" i="6"/>
  <c r="D7" i="6"/>
  <c r="H7" i="6" s="1"/>
  <c r="D9" i="6"/>
  <c r="H9" i="6" s="1"/>
  <c r="M10" i="6"/>
  <c r="AH14" i="6"/>
  <c r="N17" i="6"/>
  <c r="O17" i="6" s="1"/>
  <c r="F22" i="6"/>
  <c r="AH26" i="6"/>
  <c r="M35" i="6"/>
  <c r="N42" i="6"/>
  <c r="O42" i="6" s="1"/>
  <c r="AH42" i="6"/>
  <c r="M48" i="6"/>
  <c r="M17" i="6"/>
  <c r="F7" i="6"/>
  <c r="M22" i="6"/>
  <c r="B42" i="5"/>
  <c r="D42" i="5" s="1"/>
  <c r="C44" i="5" s="1"/>
  <c r="D33" i="5"/>
  <c r="F30" i="5"/>
  <c r="D21" i="5"/>
  <c r="D15" i="5"/>
  <c r="B8" i="5"/>
  <c r="D8" i="5" s="1"/>
  <c r="AJ9" i="6" l="1"/>
  <c r="AH35" i="6"/>
  <c r="AJ35" i="6"/>
  <c r="L53" i="6"/>
  <c r="O53" i="6" s="1"/>
  <c r="AJ22" i="6" l="1"/>
  <c r="A59" i="2"/>
  <c r="A55" i="2"/>
  <c r="A61" i="2" l="1"/>
  <c r="E83" i="4"/>
  <c r="E73" i="4"/>
  <c r="E59" i="4"/>
  <c r="E52" i="4"/>
  <c r="H44" i="4"/>
  <c r="M44" i="4" s="1"/>
  <c r="H43" i="4"/>
  <c r="M43" i="4" s="1"/>
  <c r="M42" i="4"/>
  <c r="H41" i="4"/>
  <c r="M41" i="4" s="1"/>
  <c r="H40" i="4"/>
  <c r="M40" i="4" s="1"/>
  <c r="H39" i="4"/>
  <c r="M39" i="4" s="1"/>
  <c r="M38" i="4"/>
  <c r="H37" i="4"/>
  <c r="M37" i="4" s="1"/>
  <c r="H36" i="4"/>
  <c r="M36" i="4" s="1"/>
  <c r="H35" i="4"/>
  <c r="E35" i="4"/>
  <c r="H34" i="4"/>
  <c r="M34" i="4" s="1"/>
  <c r="H33" i="4"/>
  <c r="M33" i="4" s="1"/>
  <c r="H32" i="4"/>
  <c r="M32" i="4" s="1"/>
  <c r="M31" i="4"/>
  <c r="H30" i="4"/>
  <c r="M30" i="4" s="1"/>
  <c r="H29" i="4"/>
  <c r="M29" i="4" s="1"/>
  <c r="E29" i="4"/>
  <c r="M28" i="4"/>
  <c r="H27" i="4"/>
  <c r="M27" i="4" s="1"/>
  <c r="H26" i="4"/>
  <c r="M26" i="4" s="1"/>
  <c r="H25" i="4"/>
  <c r="M25" i="4" s="1"/>
  <c r="H24" i="4"/>
  <c r="M24" i="4" s="1"/>
  <c r="H23" i="4"/>
  <c r="M23" i="4" s="1"/>
  <c r="H22" i="4"/>
  <c r="M22" i="4" s="1"/>
  <c r="H21" i="4"/>
  <c r="M21" i="4" s="1"/>
  <c r="M20" i="4"/>
  <c r="M19" i="4"/>
  <c r="M18" i="4"/>
  <c r="H17" i="4"/>
  <c r="M17" i="4" s="1"/>
  <c r="E17" i="4"/>
  <c r="M16" i="4"/>
  <c r="M15" i="4"/>
  <c r="H14" i="4"/>
  <c r="M14" i="4" s="1"/>
  <c r="H13" i="4"/>
  <c r="M13" i="4" s="1"/>
  <c r="E13" i="4"/>
  <c r="M12" i="4"/>
  <c r="M11" i="4"/>
  <c r="J11" i="4"/>
  <c r="E11" i="4"/>
  <c r="H10" i="4"/>
  <c r="M10" i="4" s="1"/>
  <c r="M9" i="4"/>
  <c r="M8" i="4"/>
  <c r="H7" i="4"/>
  <c r="M7" i="4" s="1"/>
  <c r="E7" i="4"/>
  <c r="M6" i="4"/>
  <c r="O73" i="4" l="1"/>
  <c r="J52" i="4"/>
  <c r="J59" i="4"/>
  <c r="J83" i="4"/>
  <c r="J73" i="4"/>
  <c r="J35" i="4"/>
  <c r="M35" i="4"/>
  <c r="O35" i="4" s="1"/>
  <c r="O11" i="4"/>
  <c r="C45" i="4"/>
  <c r="J17" i="4"/>
  <c r="O7" i="4"/>
  <c r="O13" i="4"/>
  <c r="O17" i="4"/>
  <c r="J7" i="4"/>
  <c r="J13" i="4"/>
  <c r="O29" i="4"/>
  <c r="J29" i="4"/>
  <c r="H45" i="4" l="1"/>
  <c r="M45" i="4"/>
  <c r="K14" i="3" l="1"/>
  <c r="F42" i="3"/>
  <c r="F35" i="3"/>
  <c r="F22" i="3"/>
  <c r="F17" i="3"/>
  <c r="F14" i="3"/>
  <c r="F9" i="3"/>
  <c r="Z14" i="3" l="1"/>
  <c r="K9" i="3"/>
  <c r="D53" i="3"/>
  <c r="K17" i="3" l="1"/>
  <c r="K22" i="3" l="1"/>
  <c r="K35" i="3"/>
  <c r="K42" i="3"/>
  <c r="Z42" i="3"/>
  <c r="X53" i="3" s="1"/>
  <c r="C40" i="2"/>
  <c r="C39" i="2"/>
  <c r="C37" i="2"/>
  <c r="C36" i="2"/>
  <c r="C35" i="2"/>
  <c r="C33" i="2"/>
  <c r="C32" i="2"/>
  <c r="C31" i="2"/>
  <c r="C30" i="2"/>
  <c r="C29" i="2"/>
  <c r="C28" i="2"/>
  <c r="C26" i="2"/>
  <c r="C25" i="2"/>
  <c r="C23" i="2"/>
  <c r="C22" i="2"/>
  <c r="C21" i="2"/>
  <c r="C20" i="2"/>
  <c r="C19" i="2"/>
  <c r="C18" i="2"/>
  <c r="C17" i="2"/>
  <c r="C14" i="2"/>
  <c r="C13" i="2"/>
  <c r="C10" i="2"/>
  <c r="C9" i="2"/>
  <c r="C6" i="2"/>
  <c r="C5" i="2"/>
  <c r="C3" i="2"/>
  <c r="I53" i="3" l="1"/>
  <c r="F41" i="1" l="1"/>
  <c r="F34" i="1" l="1"/>
  <c r="F21" i="1" l="1"/>
  <c r="F16" i="1"/>
  <c r="F52" i="1" s="1"/>
</calcChain>
</file>

<file path=xl/sharedStrings.xml><?xml version="1.0" encoding="utf-8"?>
<sst xmlns="http://schemas.openxmlformats.org/spreadsheetml/2006/main" count="870" uniqueCount="135">
  <si>
    <t>LINEA</t>
  </si>
  <si>
    <t>COMPONENTE</t>
  </si>
  <si>
    <t>L2. Gobernanza y prácticas de buen Gobierno</t>
  </si>
  <si>
    <t>L1.  Movimiento Niño</t>
  </si>
  <si>
    <t>Fortalecimiento Institucional</t>
  </si>
  <si>
    <t>Desarrollo Comunitario</t>
  </si>
  <si>
    <t>Banco de Proyectos</t>
  </si>
  <si>
    <t>Fortalecimiento de los entornos para un mejor desempeño institucional</t>
  </si>
  <si>
    <t>% EJECUCIÓN
COMPONENTE</t>
  </si>
  <si>
    <t>% EJECUCIÓN
LÍNEA</t>
  </si>
  <si>
    <t xml:space="preserve">EJECUCIÓN META FÍSICA </t>
  </si>
  <si>
    <t>L3. Pedagogía para la paz</t>
  </si>
  <si>
    <t>Cultura para la paz</t>
  </si>
  <si>
    <t>Políticas públicas de paz</t>
  </si>
  <si>
    <t>L4.  Seguridad, justicia y postconflicto</t>
  </si>
  <si>
    <t>Atención a víctimas del conflicto armado</t>
  </si>
  <si>
    <t>Convivencia, justicia y acceso al ciudadano</t>
  </si>
  <si>
    <t>Seguridad y orden público</t>
  </si>
  <si>
    <t>Derechos humanos</t>
  </si>
  <si>
    <t>L5.  Equidad y movilidad social</t>
  </si>
  <si>
    <t>Educación</t>
  </si>
  <si>
    <t>Salud</t>
  </si>
  <si>
    <t>Niñez</t>
  </si>
  <si>
    <t>Juventud</t>
  </si>
  <si>
    <t>Infancia y adolescencia</t>
  </si>
  <si>
    <t>Familia</t>
  </si>
  <si>
    <t>Cultura</t>
  </si>
  <si>
    <t>Deporte, recreación y actividad física</t>
  </si>
  <si>
    <t>Vivienda</t>
  </si>
  <si>
    <t>Equidad de género</t>
  </si>
  <si>
    <t>Grupos vulnerables</t>
  </si>
  <si>
    <t>Adulto mayor</t>
  </si>
  <si>
    <t>L6. Competitividad y transformación estratégica</t>
  </si>
  <si>
    <t>Conectividad vial y peatonal</t>
  </si>
  <si>
    <t xml:space="preserve">Turismo </t>
  </si>
  <si>
    <t>Apoyo al emprendimiento</t>
  </si>
  <si>
    <t>Servicios Públicos Domiciliarios</t>
  </si>
  <si>
    <t>Ciencia, Tecnología e innovación</t>
  </si>
  <si>
    <t>Otros servicios públicos</t>
  </si>
  <si>
    <t>L7. Sostenibilidad ambiental y nueva ruralidad</t>
  </si>
  <si>
    <t>Desarrollo rural y transformación del campo</t>
  </si>
  <si>
    <t>Gestión del riesgo</t>
  </si>
  <si>
    <t>Crecimiento verde y cambio climático</t>
  </si>
  <si>
    <t>Sostenibilidad ambiental</t>
  </si>
  <si>
    <t>Agua potable y saneamiento básico</t>
  </si>
  <si>
    <t>Ordenamiento del territorio</t>
  </si>
  <si>
    <t>Gestión y saneamiento ambiental</t>
  </si>
  <si>
    <t>Áreas de protección</t>
  </si>
  <si>
    <t>Manejo de residuos sólidos</t>
  </si>
  <si>
    <t>Educación Ambiental</t>
  </si>
  <si>
    <t>Movimiento Niño</t>
  </si>
  <si>
    <t>Pedagogía para la paz</t>
  </si>
  <si>
    <t>Gobernanza y PBG</t>
  </si>
  <si>
    <t>Sostenibilidad ambiental y NR</t>
  </si>
  <si>
    <t>Equidad y MS</t>
  </si>
  <si>
    <t>Seguridad, J y P</t>
  </si>
  <si>
    <t>Competitividad y TE</t>
  </si>
  <si>
    <t xml:space="preserve">SEGUIMIENTO PLAN DE DESARROLLO </t>
  </si>
  <si>
    <t>% 
EJEC</t>
  </si>
  <si>
    <t>Ejecución total</t>
  </si>
  <si>
    <t>% EJEC</t>
  </si>
  <si>
    <t>ACUMULADO</t>
  </si>
  <si>
    <t>%
EJEC</t>
  </si>
  <si>
    <t xml:space="preserve"> Movimiento Niño</t>
  </si>
  <si>
    <t>COMPONENTE
PLAN DE DESARROLLO</t>
  </si>
  <si>
    <t>SECRETARÍA</t>
  </si>
  <si>
    <t>GOBIERNO Y SERVICIOS ADMINISTRATIVOS</t>
  </si>
  <si>
    <t>PLANEACIÓN DEL DESARROLLO FÍSICO Y SOCIAL</t>
  </si>
  <si>
    <t>TURISMO</t>
  </si>
  <si>
    <t>MEDIO AMBIENTE Y DESARROLLO RURAL</t>
  </si>
  <si>
    <t>EMPRESA DE SERVICIOS PÚBLICOS DOMICILIARIOS</t>
  </si>
  <si>
    <t>CUMPLIMIENTO PLAN DE DESARROLLO POR SECRETARÍAS</t>
  </si>
  <si>
    <t>EJECUCIÓN PRESUPUESTAL</t>
  </si>
  <si>
    <t>VR. EJECUCIÓN</t>
  </si>
  <si>
    <t>EJECUCIÓN
POR LINEA</t>
  </si>
  <si>
    <t>TOTAL PROG.
POR LÍNEA</t>
  </si>
  <si>
    <t>EJECUC
POR LINEA</t>
  </si>
  <si>
    <t>VR. 
EJECUCIÓN</t>
  </si>
  <si>
    <t>EJECUCIÓN
POR LÍNEA</t>
  </si>
  <si>
    <t>EJECUCIÓN METAS FÍSICAS</t>
  </si>
  <si>
    <t>Gastos inversión</t>
  </si>
  <si>
    <t>FLS</t>
  </si>
  <si>
    <t xml:space="preserve">Subtotal </t>
  </si>
  <si>
    <t>Gastos Funcionamiento</t>
  </si>
  <si>
    <t>Servicio a la deuda</t>
  </si>
  <si>
    <t>Subtotal</t>
  </si>
  <si>
    <t>Total presupuesto 2016</t>
  </si>
  <si>
    <t>Dllo Rural y transformación del campo</t>
  </si>
  <si>
    <t>Crecimiento verde</t>
  </si>
  <si>
    <t>Residuos sólidos</t>
  </si>
  <si>
    <t>Educación ambiental</t>
  </si>
  <si>
    <t>Sumatoria diferencias</t>
  </si>
  <si>
    <t>SEGUIMIENTO PLAN DE DESARROLLO 2017</t>
  </si>
  <si>
    <t>Convivencia ciudadana y  acceso a la justicia</t>
  </si>
  <si>
    <t xml:space="preserve">EJECUCIÓN FÍSICA </t>
  </si>
  <si>
    <t>% EJECUCIÓN GENERAL PLAN DE DESARROLLO  NOV. 30 / 2017</t>
  </si>
  <si>
    <t>SEMESTRE 1</t>
  </si>
  <si>
    <t>SEMESTRE 2</t>
  </si>
  <si>
    <t>CONSOLIDADO 2017</t>
  </si>
  <si>
    <t>% EJECUCIÓN GENERAL PLAN DE DESARROLLO  DICIEMBRE 31 / 17</t>
  </si>
  <si>
    <t>SEGUIMIENTO PLAN DE DESARROLLO 2018</t>
  </si>
  <si>
    <t>CONSOLIDADO 2018</t>
  </si>
  <si>
    <t>Primer semestre</t>
  </si>
  <si>
    <t xml:space="preserve">Ejecución semestre 1 </t>
  </si>
  <si>
    <t>Presupuesto Inicial</t>
  </si>
  <si>
    <t>Presupuesto final</t>
  </si>
  <si>
    <t>Gastos de funcionamiento</t>
  </si>
  <si>
    <t>Gastos de inversión</t>
  </si>
  <si>
    <t>Fondo Local de Salud</t>
  </si>
  <si>
    <t>Indicador Ley 617</t>
  </si>
  <si>
    <t>L1  MN</t>
  </si>
  <si>
    <t>L2  PP</t>
  </si>
  <si>
    <t>L3 GPBG</t>
  </si>
  <si>
    <t>L4 SJP</t>
  </si>
  <si>
    <t>L5 EMS</t>
  </si>
  <si>
    <t>L6 CTE</t>
  </si>
  <si>
    <t>L7 SANR</t>
  </si>
  <si>
    <t>APSB</t>
  </si>
  <si>
    <t>Saneamiento ambiental</t>
  </si>
  <si>
    <t>Areas de protección</t>
  </si>
  <si>
    <t>% EJECUCIÓN
FÍSICA</t>
  </si>
  <si>
    <t>% 
EJECUCIÓN
PRESUPUESTAL</t>
  </si>
  <si>
    <t>Total</t>
  </si>
  <si>
    <t>% EJECUCIÓN GENERAL PLAN DE ACCIÓN  DICIEMBRE 10 / 2018</t>
  </si>
  <si>
    <t xml:space="preserve"> </t>
  </si>
  <si>
    <t>% EJECUCIÓN GENERAL PLAN DE DESARROLLO  2018</t>
  </si>
  <si>
    <t>SEGUIMIENTO PLAN DE DESARROLLO 2019</t>
  </si>
  <si>
    <t>ACUMULADO (87.5% CUATRIENIO)</t>
  </si>
  <si>
    <r>
      <t xml:space="preserve">VR.
</t>
    </r>
    <r>
      <rPr>
        <b/>
        <sz val="9"/>
        <color theme="1"/>
        <rFont val="Arial+"/>
      </rPr>
      <t>PROGRAMADO</t>
    </r>
  </si>
  <si>
    <r>
      <t xml:space="preserve">VR. </t>
    </r>
    <r>
      <rPr>
        <b/>
        <sz val="9"/>
        <color theme="1"/>
        <rFont val="Arial+"/>
      </rPr>
      <t>PROGRAMADO</t>
    </r>
  </si>
  <si>
    <r>
      <t xml:space="preserve">VALOR
</t>
    </r>
    <r>
      <rPr>
        <b/>
        <sz val="9"/>
        <color theme="1"/>
        <rFont val="Arial+"/>
      </rPr>
      <t>PROGRAMADO</t>
    </r>
    <r>
      <rPr>
        <b/>
        <sz val="10"/>
        <color theme="1"/>
        <rFont val="Arial+"/>
      </rPr>
      <t xml:space="preserve">
CUATRIENIO</t>
    </r>
  </si>
  <si>
    <t>CONSOLIDADO 2019</t>
  </si>
  <si>
    <t>% EJECUCIÓN GENERAL PLAN DE ACCIÓN  DICIEMBRE 30 / 2019</t>
  </si>
  <si>
    <t>ACUMULADO (100%)</t>
  </si>
  <si>
    <t>% EJECUCIÓN GENERAL PLAN DE DESARROLLO DICIEMBRE 30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</si>
</sst>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+"/>
    </font>
    <font>
      <b/>
      <sz val="11"/>
      <color theme="1"/>
      <name val="Arial+"/>
    </font>
    <font>
      <b/>
      <sz val="11"/>
      <name val="Arial+"/>
    </font>
    <font>
      <b/>
      <sz val="11"/>
      <color theme="1"/>
      <name val="Arial"/>
      <family val="2"/>
    </font>
    <font>
      <b/>
      <sz val="10"/>
      <color theme="1"/>
      <name val="Arial+"/>
    </font>
    <font>
      <b/>
      <sz val="10"/>
      <color theme="1"/>
      <name val="Calibri"/>
      <family val="2"/>
      <scheme val="minor"/>
    </font>
    <font>
      <sz val="10"/>
      <color theme="1"/>
      <name val="Arial+"/>
    </font>
    <font>
      <sz val="11"/>
      <color rgb="FFFF0000"/>
      <name val="Arial+"/>
    </font>
    <font>
      <b/>
      <sz val="9"/>
      <color theme="1"/>
      <name val="Arial+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8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/>
    <xf numFmtId="0" fontId="2" fillId="4" borderId="1" xfId="0" applyFont="1" applyFill="1" applyBorder="1" applyAlignment="1">
      <alignment horizontal="center"/>
    </xf>
    <xf numFmtId="2" fontId="2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2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justify" vertical="center" wrapText="1"/>
    </xf>
    <xf numFmtId="0" fontId="2" fillId="7" borderId="1" xfId="0" applyFont="1" applyFill="1" applyBorder="1" applyAlignment="1">
      <alignment horizontal="justify" vertical="center" wrapText="1"/>
    </xf>
    <xf numFmtId="0" fontId="2" fillId="8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justify" vertical="center" wrapText="1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/>
    <xf numFmtId="0" fontId="0" fillId="0" borderId="0" xfId="0" applyBorder="1"/>
    <xf numFmtId="164" fontId="2" fillId="0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/>
    </xf>
    <xf numFmtId="0" fontId="3" fillId="8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/>
    <xf numFmtId="0" fontId="1" fillId="0" borderId="0" xfId="0" applyFont="1" applyFill="1"/>
    <xf numFmtId="0" fontId="2" fillId="0" borderId="7" xfId="0" applyFont="1" applyFill="1" applyBorder="1" applyAlignment="1"/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6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1" xfId="0" applyBorder="1"/>
    <xf numFmtId="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7" fillId="0" borderId="0" xfId="0" applyFont="1"/>
    <xf numFmtId="0" fontId="6" fillId="0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 wrapText="1"/>
    </xf>
    <xf numFmtId="165" fontId="2" fillId="3" borderId="1" xfId="0" applyNumberFormat="1" applyFont="1" applyFill="1" applyBorder="1"/>
    <xf numFmtId="3" fontId="0" fillId="0" borderId="0" xfId="0" applyNumberFormat="1"/>
    <xf numFmtId="3" fontId="2" fillId="0" borderId="0" xfId="0" applyNumberFormat="1" applyFont="1"/>
    <xf numFmtId="4" fontId="0" fillId="0" borderId="0" xfId="0" applyNumberFormat="1"/>
    <xf numFmtId="3" fontId="2" fillId="0" borderId="1" xfId="0" applyNumberFormat="1" applyFont="1" applyBorder="1" applyAlignment="1">
      <alignment horizontal="right" vertical="center" wrapText="1"/>
    </xf>
    <xf numFmtId="3" fontId="0" fillId="4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2" fillId="0" borderId="0" xfId="0" applyNumberFormat="1" applyFont="1" applyAlignment="1">
      <alignment horizontal="justify" vertical="center"/>
    </xf>
    <xf numFmtId="3" fontId="2" fillId="0" borderId="1" xfId="0" applyNumberFormat="1" applyFont="1" applyBorder="1" applyAlignment="1">
      <alignment horizontal="right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2" fillId="10" borderId="0" xfId="0" applyFont="1" applyFill="1" applyAlignment="1">
      <alignment horizontal="justify" vertical="center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/>
    </xf>
    <xf numFmtId="2" fontId="2" fillId="10" borderId="0" xfId="0" applyNumberFormat="1" applyFont="1" applyFill="1"/>
    <xf numFmtId="0" fontId="2" fillId="10" borderId="0" xfId="0" applyFont="1" applyFill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10" borderId="0" xfId="0" applyFont="1" applyFill="1" applyAlignment="1"/>
    <xf numFmtId="0" fontId="0" fillId="10" borderId="0" xfId="0" applyFill="1"/>
    <xf numFmtId="3" fontId="2" fillId="10" borderId="0" xfId="0" applyNumberFormat="1" applyFont="1" applyFill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10" borderId="0" xfId="0" applyFont="1" applyFill="1"/>
    <xf numFmtId="0" fontId="1" fillId="10" borderId="0" xfId="0" applyFont="1" applyFill="1"/>
    <xf numFmtId="0" fontId="2" fillId="10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3" fillId="1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4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6D80C"/>
      <color rgb="FFCC66FF"/>
      <color rgb="FF80800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EJECUCIÓN FÍSICA</a:t>
            </a:r>
            <a:r>
              <a:rPr lang="es-CO" baseline="0"/>
              <a:t> ACUMULADA PLAN DE DESARROLLO 2016-2019</a:t>
            </a:r>
            <a:endParaRPr lang="es-CO"/>
          </a:p>
        </c:rich>
      </c:tx>
      <c:layout>
        <c:manualLayout>
          <c:xMode val="edge"/>
          <c:yMode val="edge"/>
          <c:x val="0.16294014136762791"/>
          <c:y val="6.334123519398627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8318005079736616E-2"/>
          <c:y val="1.9373961762012594E-2"/>
          <c:w val="0.82705608487145887"/>
          <c:h val="0.66741361012828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GRÁFICO!$A$2:$B$40</c:f>
              <c:strCache>
                <c:ptCount val="11"/>
                <c:pt idx="0">
                  <c:v>Movimiento Niño</c:v>
                </c:pt>
                <c:pt idx="1">
                  <c:v>Gobernanza y PBG</c:v>
                </c:pt>
                <c:pt idx="3">
                  <c:v>Pedagogía para la paz</c:v>
                </c:pt>
                <c:pt idx="5">
                  <c:v>Seguridad, J y P</c:v>
                </c:pt>
                <c:pt idx="6">
                  <c:v>Equidad y MS</c:v>
                </c:pt>
                <c:pt idx="8">
                  <c:v>Competitividad y TE</c:v>
                </c:pt>
                <c:pt idx="10">
                  <c:v>Sostenibilidad ambiental y NR</c:v>
                </c:pt>
              </c:strCache>
            </c:strRef>
          </c:cat>
          <c:val>
            <c:numRef>
              <c:f>GRÁFICO!$C$2:$C$40</c:f>
            </c:numRef>
          </c:val>
          <c:extLst>
            <c:ext xmlns:c16="http://schemas.microsoft.com/office/drawing/2014/chart" uri="{C3380CC4-5D6E-409C-BE32-E72D297353CC}">
              <c16:uniqueId val="{00000000-865E-4575-A4F7-7425A55FB28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GRÁFICO!$A$2:$B$40</c:f>
              <c:strCache>
                <c:ptCount val="11"/>
                <c:pt idx="0">
                  <c:v>Movimiento Niño</c:v>
                </c:pt>
                <c:pt idx="1">
                  <c:v>Gobernanza y PBG</c:v>
                </c:pt>
                <c:pt idx="3">
                  <c:v>Pedagogía para la paz</c:v>
                </c:pt>
                <c:pt idx="5">
                  <c:v>Seguridad, J y P</c:v>
                </c:pt>
                <c:pt idx="6">
                  <c:v>Equidad y MS</c:v>
                </c:pt>
                <c:pt idx="8">
                  <c:v>Competitividad y TE</c:v>
                </c:pt>
                <c:pt idx="10">
                  <c:v>Sostenibilidad ambiental y NR</c:v>
                </c:pt>
              </c:strCache>
            </c:strRef>
          </c:cat>
          <c:val>
            <c:numRef>
              <c:f>GRÁFICO!$D$2:$D$40</c:f>
            </c:numRef>
          </c:val>
          <c:extLst>
            <c:ext xmlns:c16="http://schemas.microsoft.com/office/drawing/2014/chart" uri="{C3380CC4-5D6E-409C-BE32-E72D297353CC}">
              <c16:uniqueId val="{00000001-865E-4575-A4F7-7425A55FB28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5E-4575-A4F7-7425A55FB28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65E-4575-A4F7-7425A55FB28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5E-4575-A4F7-7425A55FB28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65E-4575-A4F7-7425A55FB28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5E-4575-A4F7-7425A55FB28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65E-4575-A4F7-7425A55FB287}"/>
              </c:ext>
            </c:extLst>
          </c:dPt>
          <c:dPt>
            <c:idx val="1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65E-4575-A4F7-7425A55FB2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GRÁFICO!$A$2:$B$40</c:f>
              <c:strCache>
                <c:ptCount val="11"/>
                <c:pt idx="0">
                  <c:v>Movimiento Niño</c:v>
                </c:pt>
                <c:pt idx="1">
                  <c:v>Gobernanza y PBG</c:v>
                </c:pt>
                <c:pt idx="3">
                  <c:v>Pedagogía para la paz</c:v>
                </c:pt>
                <c:pt idx="5">
                  <c:v>Seguridad, J y P</c:v>
                </c:pt>
                <c:pt idx="6">
                  <c:v>Equidad y MS</c:v>
                </c:pt>
                <c:pt idx="8">
                  <c:v>Competitividad y TE</c:v>
                </c:pt>
                <c:pt idx="10">
                  <c:v>Sostenibilidad ambiental y NR</c:v>
                </c:pt>
              </c:strCache>
            </c:strRef>
          </c:cat>
          <c:val>
            <c:numRef>
              <c:f>GRÁFICO!$E$2:$E$40</c:f>
              <c:numCache>
                <c:formatCode>0.00</c:formatCode>
                <c:ptCount val="11"/>
                <c:pt idx="0">
                  <c:v>87.5</c:v>
                </c:pt>
                <c:pt idx="1">
                  <c:v>78</c:v>
                </c:pt>
                <c:pt idx="3">
                  <c:v>85</c:v>
                </c:pt>
                <c:pt idx="5">
                  <c:v>70</c:v>
                </c:pt>
                <c:pt idx="6">
                  <c:v>72.400000000000006</c:v>
                </c:pt>
                <c:pt idx="8">
                  <c:v>43.5</c:v>
                </c:pt>
                <c:pt idx="10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5E-4575-A4F7-7425A55FB287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GRÁFICO!$A$2:$B$40</c:f>
              <c:strCache>
                <c:ptCount val="11"/>
                <c:pt idx="0">
                  <c:v>Movimiento Niño</c:v>
                </c:pt>
                <c:pt idx="1">
                  <c:v>Gobernanza y PBG</c:v>
                </c:pt>
                <c:pt idx="3">
                  <c:v>Pedagogía para la paz</c:v>
                </c:pt>
                <c:pt idx="5">
                  <c:v>Seguridad, J y P</c:v>
                </c:pt>
                <c:pt idx="6">
                  <c:v>Equidad y MS</c:v>
                </c:pt>
                <c:pt idx="8">
                  <c:v>Competitividad y TE</c:v>
                </c:pt>
                <c:pt idx="10">
                  <c:v>Sostenibilidad ambiental y NR</c:v>
                </c:pt>
              </c:strCache>
            </c:strRef>
          </c:cat>
          <c:val>
            <c:numRef>
              <c:f>GRÁFICO!$F$2:$F$40</c:f>
            </c:numRef>
          </c:val>
          <c:extLst>
            <c:ext xmlns:c16="http://schemas.microsoft.com/office/drawing/2014/chart" uri="{C3380CC4-5D6E-409C-BE32-E72D297353CC}">
              <c16:uniqueId val="{0000000E-9372-40EC-9583-D580C0467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9291376"/>
        <c:axId val="299291768"/>
      </c:barChart>
      <c:catAx>
        <c:axId val="29929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9291768"/>
        <c:crosses val="autoZero"/>
        <c:auto val="1"/>
        <c:lblAlgn val="ctr"/>
        <c:lblOffset val="100"/>
        <c:noMultiLvlLbl val="0"/>
      </c:catAx>
      <c:valAx>
        <c:axId val="29929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929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tx1"/>
                </a:solidFill>
              </a:rPr>
              <a:t>BALANCE PLAN DE DESARROLLO AGOSTO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GRÁFICO!$C$1</c:f>
              <c:strCache>
                <c:ptCount val="1"/>
                <c:pt idx="0">
                  <c:v>% EJECUCIÓN
COMPONENTE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GRÁFICO!$A$2:$B$40</c:f>
              <c:strCache>
                <c:ptCount val="11"/>
                <c:pt idx="0">
                  <c:v>Movimiento Niño</c:v>
                </c:pt>
                <c:pt idx="1">
                  <c:v>Gobernanza y PBG</c:v>
                </c:pt>
                <c:pt idx="3">
                  <c:v>Pedagogía para la paz</c:v>
                </c:pt>
                <c:pt idx="5">
                  <c:v>Seguridad, J y P</c:v>
                </c:pt>
                <c:pt idx="6">
                  <c:v>Equidad y MS</c:v>
                </c:pt>
                <c:pt idx="8">
                  <c:v>Competitividad y TE</c:v>
                </c:pt>
                <c:pt idx="10">
                  <c:v>Sostenibilidad ambiental y NR</c:v>
                </c:pt>
              </c:strCache>
            </c:strRef>
          </c:cat>
          <c:val>
            <c:numRef>
              <c:f>GRÁFICO!$C$2:$C$40</c:f>
            </c:numRef>
          </c:val>
          <c:extLst>
            <c:ext xmlns:c16="http://schemas.microsoft.com/office/drawing/2014/chart" uri="{C3380CC4-5D6E-409C-BE32-E72D297353CC}">
              <c16:uniqueId val="{00000000-5CF2-4E29-A03E-4E183202499E}"/>
            </c:ext>
          </c:extLst>
        </c:ser>
        <c:ser>
          <c:idx val="1"/>
          <c:order val="1"/>
          <c:tx>
            <c:strRef>
              <c:f>GRÁFICO!$D$1</c:f>
              <c:strCache>
                <c:ptCount val="1"/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GRÁFICO!$A$2:$B$40</c:f>
              <c:strCache>
                <c:ptCount val="11"/>
                <c:pt idx="0">
                  <c:v>Movimiento Niño</c:v>
                </c:pt>
                <c:pt idx="1">
                  <c:v>Gobernanza y PBG</c:v>
                </c:pt>
                <c:pt idx="3">
                  <c:v>Pedagogía para la paz</c:v>
                </c:pt>
                <c:pt idx="5">
                  <c:v>Seguridad, J y P</c:v>
                </c:pt>
                <c:pt idx="6">
                  <c:v>Equidad y MS</c:v>
                </c:pt>
                <c:pt idx="8">
                  <c:v>Competitividad y TE</c:v>
                </c:pt>
                <c:pt idx="10">
                  <c:v>Sostenibilidad ambiental y NR</c:v>
                </c:pt>
              </c:strCache>
            </c:strRef>
          </c:cat>
          <c:val>
            <c:numRef>
              <c:f>GRÁFICO!$D$2:$D$40</c:f>
            </c:numRef>
          </c:val>
          <c:extLst>
            <c:ext xmlns:c16="http://schemas.microsoft.com/office/drawing/2014/chart" uri="{C3380CC4-5D6E-409C-BE32-E72D297353CC}">
              <c16:uniqueId val="{00000001-5CF2-4E29-A03E-4E183202499E}"/>
            </c:ext>
          </c:extLst>
        </c:ser>
        <c:ser>
          <c:idx val="2"/>
          <c:order val="2"/>
          <c:tx>
            <c:strRef>
              <c:f>GRÁFICO!$E$1</c:f>
              <c:strCache>
                <c:ptCount val="1"/>
                <c:pt idx="0">
                  <c:v>% EJECUCIÓN
FÍSICA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GRÁFICO!$A$2:$B$40</c:f>
              <c:strCache>
                <c:ptCount val="11"/>
                <c:pt idx="0">
                  <c:v>Movimiento Niño</c:v>
                </c:pt>
                <c:pt idx="1">
                  <c:v>Gobernanza y PBG</c:v>
                </c:pt>
                <c:pt idx="3">
                  <c:v>Pedagogía para la paz</c:v>
                </c:pt>
                <c:pt idx="5">
                  <c:v>Seguridad, J y P</c:v>
                </c:pt>
                <c:pt idx="6">
                  <c:v>Equidad y MS</c:v>
                </c:pt>
                <c:pt idx="8">
                  <c:v>Competitividad y TE</c:v>
                </c:pt>
                <c:pt idx="10">
                  <c:v>Sostenibilidad ambiental y NR</c:v>
                </c:pt>
              </c:strCache>
            </c:strRef>
          </c:cat>
          <c:val>
            <c:numRef>
              <c:f>GRÁFICO!$E$2:$E$40</c:f>
              <c:numCache>
                <c:formatCode>0.00</c:formatCode>
                <c:ptCount val="11"/>
                <c:pt idx="0">
                  <c:v>87.5</c:v>
                </c:pt>
                <c:pt idx="1">
                  <c:v>78</c:v>
                </c:pt>
                <c:pt idx="3">
                  <c:v>85</c:v>
                </c:pt>
                <c:pt idx="5">
                  <c:v>70</c:v>
                </c:pt>
                <c:pt idx="6">
                  <c:v>72.400000000000006</c:v>
                </c:pt>
                <c:pt idx="8">
                  <c:v>43.5</c:v>
                </c:pt>
                <c:pt idx="10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F2-4E29-A03E-4E183202499E}"/>
            </c:ext>
          </c:extLst>
        </c:ser>
        <c:ser>
          <c:idx val="3"/>
          <c:order val="3"/>
          <c:tx>
            <c:strRef>
              <c:f>GRÁFICO!$F$1</c:f>
              <c:strCache>
                <c:ptCount val="1"/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GRÁFICO!$A$2:$B$40</c:f>
              <c:strCache>
                <c:ptCount val="11"/>
                <c:pt idx="0">
                  <c:v>Movimiento Niño</c:v>
                </c:pt>
                <c:pt idx="1">
                  <c:v>Gobernanza y PBG</c:v>
                </c:pt>
                <c:pt idx="3">
                  <c:v>Pedagogía para la paz</c:v>
                </c:pt>
                <c:pt idx="5">
                  <c:v>Seguridad, J y P</c:v>
                </c:pt>
                <c:pt idx="6">
                  <c:v>Equidad y MS</c:v>
                </c:pt>
                <c:pt idx="8">
                  <c:v>Competitividad y TE</c:v>
                </c:pt>
                <c:pt idx="10">
                  <c:v>Sostenibilidad ambiental y NR</c:v>
                </c:pt>
              </c:strCache>
            </c:strRef>
          </c:cat>
          <c:val>
            <c:numRef>
              <c:f>GRÁFICO!$F$2:$F$40</c:f>
            </c:numRef>
          </c:val>
          <c:extLst>
            <c:ext xmlns:c16="http://schemas.microsoft.com/office/drawing/2014/chart" uri="{C3380CC4-5D6E-409C-BE32-E72D297353CC}">
              <c16:uniqueId val="{00000003-5CF2-4E29-A03E-4E183202499E}"/>
            </c:ext>
          </c:extLst>
        </c:ser>
        <c:ser>
          <c:idx val="4"/>
          <c:order val="4"/>
          <c:tx>
            <c:strRef>
              <c:f>GRÁFICO!$G$1</c:f>
              <c:strCache>
                <c:ptCount val="1"/>
                <c:pt idx="0">
                  <c:v>% 
EJECUCIÓN
PRESUPUESTAL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0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F2-4E29-A03E-4E18320249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GRÁFICO!$A$2:$B$40</c:f>
              <c:strCache>
                <c:ptCount val="11"/>
                <c:pt idx="0">
                  <c:v>Movimiento Niño</c:v>
                </c:pt>
                <c:pt idx="1">
                  <c:v>Gobernanza y PBG</c:v>
                </c:pt>
                <c:pt idx="3">
                  <c:v>Pedagogía para la paz</c:v>
                </c:pt>
                <c:pt idx="5">
                  <c:v>Seguridad, J y P</c:v>
                </c:pt>
                <c:pt idx="6">
                  <c:v>Equidad y MS</c:v>
                </c:pt>
                <c:pt idx="8">
                  <c:v>Competitividad y TE</c:v>
                </c:pt>
                <c:pt idx="10">
                  <c:v>Sostenibilidad ambiental y NR</c:v>
                </c:pt>
              </c:strCache>
            </c:strRef>
          </c:cat>
          <c:val>
            <c:numRef>
              <c:f>GRÁFICO!$G$2:$G$40</c:f>
              <c:numCache>
                <c:formatCode>0.00</c:formatCode>
                <c:ptCount val="11"/>
                <c:pt idx="0">
                  <c:v>20</c:v>
                </c:pt>
                <c:pt idx="1">
                  <c:v>36.5</c:v>
                </c:pt>
                <c:pt idx="3">
                  <c:v>70.3</c:v>
                </c:pt>
                <c:pt idx="5">
                  <c:v>68.7</c:v>
                </c:pt>
                <c:pt idx="6">
                  <c:v>48.6</c:v>
                </c:pt>
                <c:pt idx="8">
                  <c:v>101.6</c:v>
                </c:pt>
                <c:pt idx="10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F2-4E29-A03E-4E1832024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089400"/>
        <c:axId val="396089792"/>
      </c:barChart>
      <c:catAx>
        <c:axId val="39608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6089792"/>
        <c:crosses val="autoZero"/>
        <c:auto val="1"/>
        <c:lblAlgn val="ctr"/>
        <c:lblOffset val="100"/>
        <c:noMultiLvlLbl val="0"/>
      </c:catAx>
      <c:valAx>
        <c:axId val="39608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608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tx1"/>
                </a:solidFill>
              </a:rPr>
              <a:t>EJECUCIÓN FÍSICA</a:t>
            </a:r>
            <a:r>
              <a:rPr lang="es-CO" baseline="0">
                <a:solidFill>
                  <a:schemeClr val="tx1"/>
                </a:solidFill>
              </a:rPr>
              <a:t> ACUMULADA 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s-CO" baseline="0">
                <a:solidFill>
                  <a:schemeClr val="tx1"/>
                </a:solidFill>
              </a:rPr>
              <a:t>PLAN DE DESARROLLO 2016-2019</a:t>
            </a:r>
            <a:endParaRPr lang="es-CO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9433486403860259"/>
          <c:y val="4.475267368834804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8318005079736616E-2"/>
          <c:y val="1.9373961762012594E-2"/>
          <c:w val="0.82705608487145887"/>
          <c:h val="0.66741361012828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GRÁFICO!$A$75:$B$114</c:f>
              <c:strCache>
                <c:ptCount val="8"/>
                <c:pt idx="0">
                  <c:v>Movimiento Niño</c:v>
                </c:pt>
                <c:pt idx="1">
                  <c:v>Gobernanza y PBG</c:v>
                </c:pt>
                <c:pt idx="2">
                  <c:v>Pedagogía para la paz</c:v>
                </c:pt>
                <c:pt idx="3">
                  <c:v>Seguridad, J y P</c:v>
                </c:pt>
                <c:pt idx="4">
                  <c:v>Equidad y MS</c:v>
                </c:pt>
                <c:pt idx="5">
                  <c:v>Competitividad y TE</c:v>
                </c:pt>
                <c:pt idx="6">
                  <c:v>Sostenibilidad ambiental y NR</c:v>
                </c:pt>
                <c:pt idx="7">
                  <c:v>Total</c:v>
                </c:pt>
              </c:strCache>
            </c:strRef>
          </c:cat>
          <c:val>
            <c:numRef>
              <c:f>GRÁFICO!$C$75:$C$114</c:f>
            </c:numRef>
          </c:val>
          <c:extLst>
            <c:ext xmlns:c16="http://schemas.microsoft.com/office/drawing/2014/chart" uri="{C3380CC4-5D6E-409C-BE32-E72D297353CC}">
              <c16:uniqueId val="{00000000-865E-4575-A4F7-7425A55FB28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GRÁFICO!$A$75:$B$114</c:f>
              <c:strCache>
                <c:ptCount val="8"/>
                <c:pt idx="0">
                  <c:v>Movimiento Niño</c:v>
                </c:pt>
                <c:pt idx="1">
                  <c:v>Gobernanza y PBG</c:v>
                </c:pt>
                <c:pt idx="2">
                  <c:v>Pedagogía para la paz</c:v>
                </c:pt>
                <c:pt idx="3">
                  <c:v>Seguridad, J y P</c:v>
                </c:pt>
                <c:pt idx="4">
                  <c:v>Equidad y MS</c:v>
                </c:pt>
                <c:pt idx="5">
                  <c:v>Competitividad y TE</c:v>
                </c:pt>
                <c:pt idx="6">
                  <c:v>Sostenibilidad ambiental y NR</c:v>
                </c:pt>
                <c:pt idx="7">
                  <c:v>Total</c:v>
                </c:pt>
              </c:strCache>
            </c:strRef>
          </c:cat>
          <c:val>
            <c:numRef>
              <c:f>GRÁFICO!$D$75:$D$114</c:f>
            </c:numRef>
          </c:val>
          <c:extLst>
            <c:ext xmlns:c16="http://schemas.microsoft.com/office/drawing/2014/chart" uri="{C3380CC4-5D6E-409C-BE32-E72D297353CC}">
              <c16:uniqueId val="{00000001-865E-4575-A4F7-7425A55FB287}"/>
            </c:ext>
          </c:extLst>
        </c:ser>
        <c:ser>
          <c:idx val="2"/>
          <c:order val="2"/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66F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5E-4575-A4F7-7425A55FB28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65E-4575-A4F7-7425A55FB287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5E-4575-A4F7-7425A55FB28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683-4378-9EE3-8459CE25806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65E-4575-A4F7-7425A55FB28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5E-4575-A4F7-7425A55FB28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5E-4575-A4F7-7425A55FB287}"/>
                </c:ext>
              </c:extLst>
            </c:dLbl>
            <c:dLbl>
              <c:idx val="1"/>
              <c:layout>
                <c:manualLayout>
                  <c:x val="0"/>
                  <c:y val="2.060338006677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5E-4575-A4F7-7425A55FB287}"/>
                </c:ext>
              </c:extLst>
            </c:dLbl>
            <c:dLbl>
              <c:idx val="2"/>
              <c:layout>
                <c:manualLayout>
                  <c:x val="0"/>
                  <c:y val="1.7660040057235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83-4378-9EE3-8459CE258068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5E-4575-A4F7-7425A55FB28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83-4378-9EE3-8459CE25806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5E-4575-A4F7-7425A55FB287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5E-4575-A4F7-7425A55FB287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56-4791-AADC-00F058A176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GRÁFICO!$A$75:$B$114</c:f>
              <c:strCache>
                <c:ptCount val="8"/>
                <c:pt idx="0">
                  <c:v>Movimiento Niño</c:v>
                </c:pt>
                <c:pt idx="1">
                  <c:v>Gobernanza y PBG</c:v>
                </c:pt>
                <c:pt idx="2">
                  <c:v>Pedagogía para la paz</c:v>
                </c:pt>
                <c:pt idx="3">
                  <c:v>Seguridad, J y P</c:v>
                </c:pt>
                <c:pt idx="4">
                  <c:v>Equidad y MS</c:v>
                </c:pt>
                <c:pt idx="5">
                  <c:v>Competitividad y TE</c:v>
                </c:pt>
                <c:pt idx="6">
                  <c:v>Sostenibilidad ambiental y NR</c:v>
                </c:pt>
                <c:pt idx="7">
                  <c:v>Total</c:v>
                </c:pt>
              </c:strCache>
            </c:strRef>
          </c:cat>
          <c:val>
            <c:numRef>
              <c:f>GRÁFICO!$E$75:$E$114</c:f>
              <c:numCache>
                <c:formatCode>0.00</c:formatCode>
                <c:ptCount val="8"/>
                <c:pt idx="0">
                  <c:v>100</c:v>
                </c:pt>
                <c:pt idx="1">
                  <c:v>90</c:v>
                </c:pt>
                <c:pt idx="2">
                  <c:v>97.5</c:v>
                </c:pt>
                <c:pt idx="3">
                  <c:v>85.3</c:v>
                </c:pt>
                <c:pt idx="4">
                  <c:v>85.6</c:v>
                </c:pt>
                <c:pt idx="5">
                  <c:v>61.6</c:v>
                </c:pt>
                <c:pt idx="6">
                  <c:v>67.7</c:v>
                </c:pt>
                <c:pt idx="7">
                  <c:v>83.95714285714287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5E-4575-A4F7-7425A55F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090576"/>
        <c:axId val="396090968"/>
      </c:barChart>
      <c:catAx>
        <c:axId val="39609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6090968"/>
        <c:crosses val="autoZero"/>
        <c:auto val="1"/>
        <c:lblAlgn val="ctr"/>
        <c:lblOffset val="100"/>
        <c:noMultiLvlLbl val="0"/>
      </c:catAx>
      <c:valAx>
        <c:axId val="39609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609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3</xdr:row>
      <xdr:rowOff>0</xdr:rowOff>
    </xdr:from>
    <xdr:to>
      <xdr:col>5</xdr:col>
      <xdr:colOff>2380</xdr:colOff>
      <xdr:row>4</xdr:row>
      <xdr:rowOff>17781</xdr:rowOff>
    </xdr:to>
    <xdr:pic>
      <xdr:nvPicPr>
        <xdr:cNvPr id="2" name="Imagen 1" descr="Resultado de imagen para semáforo">
          <a:extLst>
            <a:ext uri="{FF2B5EF4-FFF2-40B4-BE49-F238E27FC236}">
              <a16:creationId xmlns:a16="http://schemas.microsoft.com/office/drawing/2014/main" id="{4984AEA7-3681-4834-BC00-1B6D938346F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4867274" y="600075"/>
          <a:ext cx="507206" cy="570231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507999</xdr:colOff>
      <xdr:row>4</xdr:row>
      <xdr:rowOff>17781</xdr:rowOff>
    </xdr:to>
    <xdr:pic>
      <xdr:nvPicPr>
        <xdr:cNvPr id="3" name="Imagen 2" descr="Resultado de imagen para semáforo">
          <a:extLst>
            <a:ext uri="{FF2B5EF4-FFF2-40B4-BE49-F238E27FC236}">
              <a16:creationId xmlns:a16="http://schemas.microsoft.com/office/drawing/2014/main" id="{C90AC6CF-94C1-441D-A9A3-98DEF9E9FAD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6372225" y="600075"/>
          <a:ext cx="507999" cy="570231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28574</xdr:colOff>
      <xdr:row>49</xdr:row>
      <xdr:rowOff>0</xdr:rowOff>
    </xdr:from>
    <xdr:ext cx="381001" cy="570230"/>
    <xdr:pic>
      <xdr:nvPicPr>
        <xdr:cNvPr id="2" name="Imagen 1" descr="Resultado de imagen para semáfor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5562599" y="857250"/>
          <a:ext cx="381001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352425" cy="570230"/>
    <xdr:pic>
      <xdr:nvPicPr>
        <xdr:cNvPr id="3" name="Imagen 2" descr="Resultado de imagen para semáfor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10010775" y="857250"/>
          <a:ext cx="352425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3</xdr:col>
      <xdr:colOff>1</xdr:colOff>
      <xdr:row>49</xdr:row>
      <xdr:rowOff>0</xdr:rowOff>
    </xdr:from>
    <xdr:ext cx="381000" cy="570230"/>
    <xdr:pic>
      <xdr:nvPicPr>
        <xdr:cNvPr id="4" name="Imagen 3" descr="Resultado de imagen para semáfor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3733801" y="857250"/>
          <a:ext cx="38100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5</xdr:col>
      <xdr:colOff>0</xdr:colOff>
      <xdr:row>49</xdr:row>
      <xdr:rowOff>0</xdr:rowOff>
    </xdr:from>
    <xdr:ext cx="381000" cy="570230"/>
    <xdr:pic>
      <xdr:nvPicPr>
        <xdr:cNvPr id="5" name="Imagen 4" descr="Resultado de imagen para semáfor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4600575" y="857250"/>
          <a:ext cx="38100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28576</xdr:colOff>
      <xdr:row>49</xdr:row>
      <xdr:rowOff>0</xdr:rowOff>
    </xdr:from>
    <xdr:ext cx="361950" cy="570230"/>
    <xdr:pic>
      <xdr:nvPicPr>
        <xdr:cNvPr id="6" name="Imagen 5" descr="Resultado de imagen para semáfor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6429376" y="857250"/>
          <a:ext cx="36195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18</xdr:col>
      <xdr:colOff>0</xdr:colOff>
      <xdr:row>49</xdr:row>
      <xdr:rowOff>0</xdr:rowOff>
    </xdr:from>
    <xdr:ext cx="352425" cy="570230"/>
    <xdr:pic>
      <xdr:nvPicPr>
        <xdr:cNvPr id="7" name="Imagen 6" descr="Resultado de imagen para semáfor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9229725" y="857250"/>
          <a:ext cx="352425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13</xdr:col>
      <xdr:colOff>28574</xdr:colOff>
      <xdr:row>49</xdr:row>
      <xdr:rowOff>0</xdr:rowOff>
    </xdr:from>
    <xdr:ext cx="381001" cy="570230"/>
    <xdr:pic>
      <xdr:nvPicPr>
        <xdr:cNvPr id="8" name="Imagen 7" descr="Resultado de imagen para semáfor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7400924" y="857250"/>
          <a:ext cx="381001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15</xdr:col>
      <xdr:colOff>28576</xdr:colOff>
      <xdr:row>49</xdr:row>
      <xdr:rowOff>0</xdr:rowOff>
    </xdr:from>
    <xdr:ext cx="361950" cy="570230"/>
    <xdr:pic>
      <xdr:nvPicPr>
        <xdr:cNvPr id="9" name="Imagen 8" descr="Resultado de imagen para semáfor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8267701" y="857250"/>
          <a:ext cx="36195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28574</xdr:colOff>
      <xdr:row>49</xdr:row>
      <xdr:rowOff>0</xdr:rowOff>
    </xdr:from>
    <xdr:ext cx="381001" cy="570230"/>
    <xdr:pic>
      <xdr:nvPicPr>
        <xdr:cNvPr id="20" name="Imagen 19" descr="Resultado de imagen para semáforo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4972049" y="914400"/>
          <a:ext cx="381001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15</xdr:col>
      <xdr:colOff>0</xdr:colOff>
      <xdr:row>49</xdr:row>
      <xdr:rowOff>0</xdr:rowOff>
    </xdr:from>
    <xdr:ext cx="352425" cy="570230"/>
    <xdr:pic>
      <xdr:nvPicPr>
        <xdr:cNvPr id="21" name="Imagen 20" descr="Resultado de imagen para semáfor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7581900" y="914400"/>
          <a:ext cx="352425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3</xdr:col>
      <xdr:colOff>1</xdr:colOff>
      <xdr:row>49</xdr:row>
      <xdr:rowOff>0</xdr:rowOff>
    </xdr:from>
    <xdr:ext cx="381000" cy="570230"/>
    <xdr:pic>
      <xdr:nvPicPr>
        <xdr:cNvPr id="22" name="Imagen 21" descr="Resultado de imagen para semáfor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3143251" y="914400"/>
          <a:ext cx="38100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5</xdr:col>
      <xdr:colOff>0</xdr:colOff>
      <xdr:row>49</xdr:row>
      <xdr:rowOff>0</xdr:rowOff>
    </xdr:from>
    <xdr:ext cx="381000" cy="570230"/>
    <xdr:pic>
      <xdr:nvPicPr>
        <xdr:cNvPr id="23" name="Imagen 22" descr="Resultado de imagen para semáfor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4010025" y="914400"/>
          <a:ext cx="38100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28576</xdr:colOff>
      <xdr:row>49</xdr:row>
      <xdr:rowOff>0</xdr:rowOff>
    </xdr:from>
    <xdr:ext cx="361950" cy="570230"/>
    <xdr:pic>
      <xdr:nvPicPr>
        <xdr:cNvPr id="24" name="Imagen 23" descr="Resultado de imagen para semáforo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5838826" y="914400"/>
          <a:ext cx="36195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13</xdr:col>
      <xdr:colOff>0</xdr:colOff>
      <xdr:row>49</xdr:row>
      <xdr:rowOff>0</xdr:rowOff>
    </xdr:from>
    <xdr:ext cx="352425" cy="570230"/>
    <xdr:pic>
      <xdr:nvPicPr>
        <xdr:cNvPr id="25" name="Imagen 24" descr="Resultado de imagen para semáforo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6800850" y="914400"/>
          <a:ext cx="352425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304799</xdr:colOff>
      <xdr:row>0</xdr:row>
      <xdr:rowOff>85725</xdr:rowOff>
    </xdr:from>
    <xdr:to>
      <xdr:col>16</xdr:col>
      <xdr:colOff>104774</xdr:colOff>
      <xdr:row>48</xdr:row>
      <xdr:rowOff>142876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361949</xdr:colOff>
      <xdr:row>50</xdr:row>
      <xdr:rowOff>4761</xdr:rowOff>
    </xdr:from>
    <xdr:to>
      <xdr:col>15</xdr:col>
      <xdr:colOff>695324</xdr:colOff>
      <xdr:row>67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114300</xdr:colOff>
      <xdr:row>72</xdr:row>
      <xdr:rowOff>142875</xdr:rowOff>
    </xdr:from>
    <xdr:to>
      <xdr:col>13</xdr:col>
      <xdr:colOff>180975</xdr:colOff>
      <xdr:row>125</xdr:row>
      <xdr:rowOff>133351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361949</xdr:colOff>
      <xdr:row>72</xdr:row>
      <xdr:rowOff>47625</xdr:rowOff>
    </xdr:from>
    <xdr:to>
      <xdr:col>21</xdr:col>
      <xdr:colOff>638175</xdr:colOff>
      <xdr:row>129</xdr:row>
      <xdr:rowOff>28575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A451A79-B323-4830-9EAA-EB2E91A50904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l="1304" t="23644" r="64386" b="14021"/>
        <a:stretch/>
      </xdr:blipFill>
      <xdr:spPr bwMode="auto">
        <a:xfrm>
          <a:off x="8686799" y="8572500"/>
          <a:ext cx="6372226" cy="5067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3</xdr:row>
      <xdr:rowOff>0</xdr:rowOff>
    </xdr:from>
    <xdr:to>
      <xdr:col>5</xdr:col>
      <xdr:colOff>2380</xdr:colOff>
      <xdr:row>4</xdr:row>
      <xdr:rowOff>17780</xdr:rowOff>
    </xdr:to>
    <xdr:pic>
      <xdr:nvPicPr>
        <xdr:cNvPr id="3" name="Imagen 2" descr="Resultado de imagen para semáfo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4800599" y="685800"/>
          <a:ext cx="504825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507999</xdr:colOff>
      <xdr:row>4</xdr:row>
      <xdr:rowOff>17780</xdr:rowOff>
    </xdr:to>
    <xdr:pic>
      <xdr:nvPicPr>
        <xdr:cNvPr id="4" name="Imagen 3" descr="Resultado de imagen para semáfor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6219825" y="685800"/>
          <a:ext cx="51435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9524</xdr:colOff>
      <xdr:row>4</xdr:row>
      <xdr:rowOff>0</xdr:rowOff>
    </xdr:from>
    <xdr:to>
      <xdr:col>8</xdr:col>
      <xdr:colOff>2380</xdr:colOff>
      <xdr:row>5</xdr:row>
      <xdr:rowOff>17780</xdr:rowOff>
    </xdr:to>
    <xdr:pic>
      <xdr:nvPicPr>
        <xdr:cNvPr id="2" name="Imagen 1" descr="Resultado de imagen para semáfor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4505324" y="685800"/>
          <a:ext cx="507207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511968</xdr:colOff>
      <xdr:row>5</xdr:row>
      <xdr:rowOff>17780</xdr:rowOff>
    </xdr:to>
    <xdr:pic>
      <xdr:nvPicPr>
        <xdr:cNvPr id="3" name="Imagen 2" descr="Resultado de imagen para semáfor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5924550" y="685800"/>
          <a:ext cx="51435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4762</xdr:colOff>
      <xdr:row>5</xdr:row>
      <xdr:rowOff>17780</xdr:rowOff>
    </xdr:to>
    <xdr:pic>
      <xdr:nvPicPr>
        <xdr:cNvPr id="6" name="Imagen 5" descr="Resultado de imagen para semáfor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4000500" y="678656"/>
          <a:ext cx="504825" cy="565468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</xdr:col>
      <xdr:colOff>9524</xdr:colOff>
      <xdr:row>4</xdr:row>
      <xdr:rowOff>0</xdr:rowOff>
    </xdr:from>
    <xdr:ext cx="504825" cy="565468"/>
    <xdr:pic>
      <xdr:nvPicPr>
        <xdr:cNvPr id="7" name="Imagen 6" descr="Resultado de imagen para semáfor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6653212" y="678656"/>
          <a:ext cx="504825" cy="565468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6</xdr:col>
      <xdr:colOff>59530</xdr:colOff>
      <xdr:row>5</xdr:row>
      <xdr:rowOff>17780</xdr:rowOff>
    </xdr:to>
    <xdr:pic>
      <xdr:nvPicPr>
        <xdr:cNvPr id="8" name="Imagen 7" descr="Resultado de imagen para semáfor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5060156" y="678656"/>
          <a:ext cx="511968" cy="565468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9524</xdr:colOff>
      <xdr:row>4</xdr:row>
      <xdr:rowOff>0</xdr:rowOff>
    </xdr:from>
    <xdr:to>
      <xdr:col>13</xdr:col>
      <xdr:colOff>4762</xdr:colOff>
      <xdr:row>5</xdr:row>
      <xdr:rowOff>17780</xdr:rowOff>
    </xdr:to>
    <xdr:pic>
      <xdr:nvPicPr>
        <xdr:cNvPr id="9" name="Imagen 8" descr="Resultado de imagen para semáfor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4505324" y="685800"/>
          <a:ext cx="507207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2381</xdr:colOff>
      <xdr:row>5</xdr:row>
      <xdr:rowOff>17780</xdr:rowOff>
    </xdr:to>
    <xdr:pic>
      <xdr:nvPicPr>
        <xdr:cNvPr id="10" name="Imagen 9" descr="Resultado de imagen para semáfor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5924550" y="685800"/>
          <a:ext cx="51435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28574</xdr:colOff>
      <xdr:row>4</xdr:row>
      <xdr:rowOff>0</xdr:rowOff>
    </xdr:from>
    <xdr:to>
      <xdr:col>9</xdr:col>
      <xdr:colOff>409575</xdr:colOff>
      <xdr:row>5</xdr:row>
      <xdr:rowOff>17780</xdr:rowOff>
    </xdr:to>
    <xdr:pic>
      <xdr:nvPicPr>
        <xdr:cNvPr id="2" name="Imagen 1" descr="Resultado de imagen para semáfor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6162674" y="914400"/>
          <a:ext cx="381001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26</xdr:col>
      <xdr:colOff>391584</xdr:colOff>
      <xdr:row>5</xdr:row>
      <xdr:rowOff>17780</xdr:rowOff>
    </xdr:to>
    <xdr:pic>
      <xdr:nvPicPr>
        <xdr:cNvPr id="3" name="Imagen 2" descr="Resultado de imagen para semáfor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11789833" y="931333"/>
          <a:ext cx="391584" cy="568114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</xdr:colOff>
      <xdr:row>4</xdr:row>
      <xdr:rowOff>0</xdr:rowOff>
    </xdr:from>
    <xdr:to>
      <xdr:col>5</xdr:col>
      <xdr:colOff>1</xdr:colOff>
      <xdr:row>5</xdr:row>
      <xdr:rowOff>17780</xdr:rowOff>
    </xdr:to>
    <xdr:pic>
      <xdr:nvPicPr>
        <xdr:cNvPr id="4" name="Imagen 3" descr="Resultado de imagen para semáfor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4086226" y="914400"/>
          <a:ext cx="38100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5</xdr:row>
      <xdr:rowOff>17780</xdr:rowOff>
    </xdr:to>
    <xdr:pic>
      <xdr:nvPicPr>
        <xdr:cNvPr id="5" name="Imagen 4" descr="Resultado de imagen para semáfor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4991100" y="914400"/>
          <a:ext cx="38100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28576</xdr:colOff>
      <xdr:row>4</xdr:row>
      <xdr:rowOff>0</xdr:rowOff>
    </xdr:from>
    <xdr:to>
      <xdr:col>11</xdr:col>
      <xdr:colOff>390526</xdr:colOff>
      <xdr:row>5</xdr:row>
      <xdr:rowOff>17780</xdr:rowOff>
    </xdr:to>
    <xdr:pic>
      <xdr:nvPicPr>
        <xdr:cNvPr id="6" name="Imagen 5" descr="Resultado de imagen para semáfor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7086601" y="914400"/>
          <a:ext cx="36195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24</xdr:col>
      <xdr:colOff>0</xdr:colOff>
      <xdr:row>4</xdr:row>
      <xdr:rowOff>0</xdr:rowOff>
    </xdr:from>
    <xdr:to>
      <xdr:col>25</xdr:col>
      <xdr:colOff>9525</xdr:colOff>
      <xdr:row>5</xdr:row>
      <xdr:rowOff>17780</xdr:rowOff>
    </xdr:to>
    <xdr:pic>
      <xdr:nvPicPr>
        <xdr:cNvPr id="7" name="Imagen 6" descr="Resultado de imagen para semáfor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7562850" y="914400"/>
          <a:ext cx="352425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14</xdr:col>
      <xdr:colOff>28574</xdr:colOff>
      <xdr:row>4</xdr:row>
      <xdr:rowOff>0</xdr:rowOff>
    </xdr:from>
    <xdr:ext cx="381001" cy="570230"/>
    <xdr:pic>
      <xdr:nvPicPr>
        <xdr:cNvPr id="8" name="Imagen 7" descr="Resultado de imagen para semáfor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5467349" y="914400"/>
          <a:ext cx="381001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16</xdr:col>
      <xdr:colOff>28576</xdr:colOff>
      <xdr:row>4</xdr:row>
      <xdr:rowOff>0</xdr:rowOff>
    </xdr:from>
    <xdr:ext cx="361950" cy="570230"/>
    <xdr:pic>
      <xdr:nvPicPr>
        <xdr:cNvPr id="9" name="Imagen 8" descr="Resultado de imagen para semáfor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6334126" y="914400"/>
          <a:ext cx="36195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19</xdr:col>
      <xdr:colOff>28574</xdr:colOff>
      <xdr:row>4</xdr:row>
      <xdr:rowOff>0</xdr:rowOff>
    </xdr:from>
    <xdr:ext cx="381001" cy="570230"/>
    <xdr:pic>
      <xdr:nvPicPr>
        <xdr:cNvPr id="10" name="Imagen 9" descr="Resultado de imagen para semáfor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7357532" y="917222"/>
          <a:ext cx="381001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21</xdr:col>
      <xdr:colOff>28576</xdr:colOff>
      <xdr:row>4</xdr:row>
      <xdr:rowOff>0</xdr:rowOff>
    </xdr:from>
    <xdr:ext cx="361950" cy="570230"/>
    <xdr:pic>
      <xdr:nvPicPr>
        <xdr:cNvPr id="11" name="Imagen 10" descr="Resultado de imagen para semáfor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8230659" y="917222"/>
          <a:ext cx="36195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3</xdr:row>
      <xdr:rowOff>0</xdr:rowOff>
    </xdr:from>
    <xdr:to>
      <xdr:col>5</xdr:col>
      <xdr:colOff>2380</xdr:colOff>
      <xdr:row>4</xdr:row>
      <xdr:rowOff>17781</xdr:rowOff>
    </xdr:to>
    <xdr:pic>
      <xdr:nvPicPr>
        <xdr:cNvPr id="2" name="Imagen 1" descr="Resultado de imagen para semáfor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4762499" y="685800"/>
          <a:ext cx="507206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507999</xdr:colOff>
      <xdr:row>4</xdr:row>
      <xdr:rowOff>17781</xdr:rowOff>
    </xdr:to>
    <xdr:pic>
      <xdr:nvPicPr>
        <xdr:cNvPr id="3" name="Imagen 2" descr="Resultado de imagen para semáfor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6267450" y="685800"/>
          <a:ext cx="507999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9524</xdr:colOff>
      <xdr:row>4</xdr:row>
      <xdr:rowOff>0</xdr:rowOff>
    </xdr:from>
    <xdr:to>
      <xdr:col>8</xdr:col>
      <xdr:colOff>2380</xdr:colOff>
      <xdr:row>5</xdr:row>
      <xdr:rowOff>17780</xdr:rowOff>
    </xdr:to>
    <xdr:pic>
      <xdr:nvPicPr>
        <xdr:cNvPr id="2" name="Imagen 1" descr="Resultado de imagen para semáfor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6172199" y="914400"/>
          <a:ext cx="507206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1214</xdr:colOff>
      <xdr:row>5</xdr:row>
      <xdr:rowOff>17780</xdr:rowOff>
    </xdr:to>
    <xdr:pic>
      <xdr:nvPicPr>
        <xdr:cNvPr id="3" name="Imagen 2" descr="Resultado de imagen para semáfor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7258050" y="914400"/>
          <a:ext cx="511968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4763</xdr:colOff>
      <xdr:row>5</xdr:row>
      <xdr:rowOff>17780</xdr:rowOff>
    </xdr:to>
    <xdr:pic>
      <xdr:nvPicPr>
        <xdr:cNvPr id="4" name="Imagen 3" descr="Resultado de imagen para semáfor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3990975" y="914400"/>
          <a:ext cx="509587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</xdr:col>
      <xdr:colOff>9524</xdr:colOff>
      <xdr:row>4</xdr:row>
      <xdr:rowOff>0</xdr:rowOff>
    </xdr:from>
    <xdr:ext cx="504825" cy="565468"/>
    <xdr:pic>
      <xdr:nvPicPr>
        <xdr:cNvPr id="5" name="Imagen 4" descr="Resultado de imagen para semáfor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4000499" y="914400"/>
          <a:ext cx="504825" cy="565468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6</xdr:col>
      <xdr:colOff>59531</xdr:colOff>
      <xdr:row>5</xdr:row>
      <xdr:rowOff>17780</xdr:rowOff>
    </xdr:to>
    <xdr:pic>
      <xdr:nvPicPr>
        <xdr:cNvPr id="6" name="Imagen 5" descr="Resultado de imagen para semáfor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5057775" y="914400"/>
          <a:ext cx="51673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9524</xdr:colOff>
      <xdr:row>4</xdr:row>
      <xdr:rowOff>0</xdr:rowOff>
    </xdr:from>
    <xdr:to>
      <xdr:col>13</xdr:col>
      <xdr:colOff>4762</xdr:colOff>
      <xdr:row>5</xdr:row>
      <xdr:rowOff>17780</xdr:rowOff>
    </xdr:to>
    <xdr:pic>
      <xdr:nvPicPr>
        <xdr:cNvPr id="7" name="Imagen 6" descr="Resultado de imagen para semáfor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9077324" y="914400"/>
          <a:ext cx="509588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2381</xdr:colOff>
      <xdr:row>5</xdr:row>
      <xdr:rowOff>17780</xdr:rowOff>
    </xdr:to>
    <xdr:pic>
      <xdr:nvPicPr>
        <xdr:cNvPr id="8" name="Imagen 7" descr="Resultado de imagen para semáfor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10496550" y="914400"/>
          <a:ext cx="516731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3</xdr:row>
      <xdr:rowOff>0</xdr:rowOff>
    </xdr:from>
    <xdr:to>
      <xdr:col>5</xdr:col>
      <xdr:colOff>2380</xdr:colOff>
      <xdr:row>4</xdr:row>
      <xdr:rowOff>17781</xdr:rowOff>
    </xdr:to>
    <xdr:pic>
      <xdr:nvPicPr>
        <xdr:cNvPr id="2" name="Imagen 1" descr="Resultado de imagen para semáfor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4867274" y="600075"/>
          <a:ext cx="507206" cy="570231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507999</xdr:colOff>
      <xdr:row>4</xdr:row>
      <xdr:rowOff>17781</xdr:rowOff>
    </xdr:to>
    <xdr:pic>
      <xdr:nvPicPr>
        <xdr:cNvPr id="3" name="Imagen 2" descr="Resultado de imagen para semáfor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6372225" y="600075"/>
          <a:ext cx="507999" cy="570231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9524</xdr:colOff>
      <xdr:row>4</xdr:row>
      <xdr:rowOff>0</xdr:rowOff>
    </xdr:from>
    <xdr:to>
      <xdr:col>8</xdr:col>
      <xdr:colOff>2380</xdr:colOff>
      <xdr:row>5</xdr:row>
      <xdr:rowOff>17780</xdr:rowOff>
    </xdr:to>
    <xdr:pic>
      <xdr:nvPicPr>
        <xdr:cNvPr id="2" name="Imagen 1" descr="Resultado de imagen para semáfor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6391274" y="228600"/>
          <a:ext cx="507206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1214</xdr:colOff>
      <xdr:row>5</xdr:row>
      <xdr:rowOff>17780</xdr:rowOff>
    </xdr:to>
    <xdr:pic>
      <xdr:nvPicPr>
        <xdr:cNvPr id="3" name="Imagen 2" descr="Resultado de imagen para semáfor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7477125" y="228600"/>
          <a:ext cx="515564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4763</xdr:colOff>
      <xdr:row>5</xdr:row>
      <xdr:rowOff>17780</xdr:rowOff>
    </xdr:to>
    <xdr:pic>
      <xdr:nvPicPr>
        <xdr:cNvPr id="4" name="Imagen 3" descr="Resultado de imagen para semáfor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4210050" y="228600"/>
          <a:ext cx="509588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</xdr:col>
      <xdr:colOff>9524</xdr:colOff>
      <xdr:row>4</xdr:row>
      <xdr:rowOff>0</xdr:rowOff>
    </xdr:from>
    <xdr:ext cx="504825" cy="565468"/>
    <xdr:pic>
      <xdr:nvPicPr>
        <xdr:cNvPr id="5" name="Imagen 4" descr="Resultado de imagen para semáfor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4219574" y="228600"/>
          <a:ext cx="504825" cy="565468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6</xdr:col>
      <xdr:colOff>59531</xdr:colOff>
      <xdr:row>5</xdr:row>
      <xdr:rowOff>17780</xdr:rowOff>
    </xdr:to>
    <xdr:pic>
      <xdr:nvPicPr>
        <xdr:cNvPr id="6" name="Imagen 5" descr="Resultado de imagen para semáfor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5276850" y="228600"/>
          <a:ext cx="516731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9524</xdr:colOff>
      <xdr:row>4</xdr:row>
      <xdr:rowOff>0</xdr:rowOff>
    </xdr:from>
    <xdr:to>
      <xdr:col>13</xdr:col>
      <xdr:colOff>4762</xdr:colOff>
      <xdr:row>5</xdr:row>
      <xdr:rowOff>17780</xdr:rowOff>
    </xdr:to>
    <xdr:pic>
      <xdr:nvPicPr>
        <xdr:cNvPr id="7" name="Imagen 6" descr="Resultado de imagen para semáfor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9296399" y="228600"/>
          <a:ext cx="509588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2381</xdr:colOff>
      <xdr:row>5</xdr:row>
      <xdr:rowOff>17780</xdr:rowOff>
    </xdr:to>
    <xdr:pic>
      <xdr:nvPicPr>
        <xdr:cNvPr id="8" name="Imagen 7" descr="Resultado de imagen para semáfor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10715625" y="228600"/>
          <a:ext cx="516731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28574</xdr:colOff>
      <xdr:row>4</xdr:row>
      <xdr:rowOff>0</xdr:rowOff>
    </xdr:from>
    <xdr:ext cx="381001" cy="570230"/>
    <xdr:pic>
      <xdr:nvPicPr>
        <xdr:cNvPr id="2" name="Imagen 1" descr="Resultado de imagen para semáfor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17859374" y="914400"/>
          <a:ext cx="381001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35</xdr:col>
      <xdr:colOff>57150</xdr:colOff>
      <xdr:row>4</xdr:row>
      <xdr:rowOff>0</xdr:rowOff>
    </xdr:from>
    <xdr:ext cx="352425" cy="570230"/>
    <xdr:pic>
      <xdr:nvPicPr>
        <xdr:cNvPr id="3" name="Imagen 2" descr="Resultado de imagen para semáfor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24745950" y="914400"/>
          <a:ext cx="352425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5</xdr:col>
      <xdr:colOff>47626</xdr:colOff>
      <xdr:row>4</xdr:row>
      <xdr:rowOff>9525</xdr:rowOff>
    </xdr:from>
    <xdr:ext cx="381000" cy="570230"/>
    <xdr:pic>
      <xdr:nvPicPr>
        <xdr:cNvPr id="4" name="Imagen 3" descr="Resultado de imagen para semáfor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5876926" y="771525"/>
          <a:ext cx="38100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7</xdr:col>
      <xdr:colOff>57150</xdr:colOff>
      <xdr:row>4</xdr:row>
      <xdr:rowOff>9525</xdr:rowOff>
    </xdr:from>
    <xdr:ext cx="381000" cy="570230"/>
    <xdr:pic>
      <xdr:nvPicPr>
        <xdr:cNvPr id="5" name="Imagen 4" descr="Resultado de imagen para semáfor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7315200" y="771525"/>
          <a:ext cx="38100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14</xdr:col>
      <xdr:colOff>95251</xdr:colOff>
      <xdr:row>4</xdr:row>
      <xdr:rowOff>0</xdr:rowOff>
    </xdr:from>
    <xdr:ext cx="361950" cy="570230"/>
    <xdr:pic>
      <xdr:nvPicPr>
        <xdr:cNvPr id="6" name="Imagen 5" descr="Resultado de imagen para semáfor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12468226" y="762000"/>
          <a:ext cx="36195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33</xdr:col>
      <xdr:colOff>95250</xdr:colOff>
      <xdr:row>4</xdr:row>
      <xdr:rowOff>9525</xdr:rowOff>
    </xdr:from>
    <xdr:ext cx="352425" cy="570230"/>
    <xdr:pic>
      <xdr:nvPicPr>
        <xdr:cNvPr id="7" name="Imagen 6" descr="Resultado de imagen para semáfor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16182975" y="771525"/>
          <a:ext cx="352425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19</xdr:col>
      <xdr:colOff>28574</xdr:colOff>
      <xdr:row>4</xdr:row>
      <xdr:rowOff>0</xdr:rowOff>
    </xdr:from>
    <xdr:ext cx="381001" cy="570230"/>
    <xdr:pic>
      <xdr:nvPicPr>
        <xdr:cNvPr id="10" name="Imagen 9" descr="Resultado de imagen para semáfor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10953749" y="762000"/>
          <a:ext cx="381001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21</xdr:col>
      <xdr:colOff>95251</xdr:colOff>
      <xdr:row>4</xdr:row>
      <xdr:rowOff>0</xdr:rowOff>
    </xdr:from>
    <xdr:ext cx="361950" cy="570230"/>
    <xdr:pic>
      <xdr:nvPicPr>
        <xdr:cNvPr id="11" name="Imagen 10" descr="Resultado de imagen para semáfor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12468226" y="762000"/>
          <a:ext cx="36195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26</xdr:col>
      <xdr:colOff>28574</xdr:colOff>
      <xdr:row>4</xdr:row>
      <xdr:rowOff>0</xdr:rowOff>
    </xdr:from>
    <xdr:ext cx="381001" cy="570230"/>
    <xdr:pic>
      <xdr:nvPicPr>
        <xdr:cNvPr id="17" name="Imagen 16" descr="Resultado de imagen para semáforo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16843862" y="781538"/>
          <a:ext cx="381001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28</xdr:col>
      <xdr:colOff>95251</xdr:colOff>
      <xdr:row>4</xdr:row>
      <xdr:rowOff>0</xdr:rowOff>
    </xdr:from>
    <xdr:ext cx="361950" cy="570230"/>
    <xdr:pic>
      <xdr:nvPicPr>
        <xdr:cNvPr id="18" name="Imagen 17" descr="Resultado de imagen para semáforo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2" r="28708" b="2871"/>
        <a:stretch/>
      </xdr:blipFill>
      <xdr:spPr bwMode="auto">
        <a:xfrm>
          <a:off x="18449193" y="781538"/>
          <a:ext cx="361950" cy="570230"/>
        </a:xfrm>
        <a:prstGeom prst="round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D9D87-9D32-4682-BEB9-6AAE7B1D40C4}">
  <dimension ref="B1:J67"/>
  <sheetViews>
    <sheetView tabSelected="1" topLeftCell="A16" zoomScale="60" zoomScaleNormal="60" workbookViewId="0">
      <selection activeCell="J39" sqref="J39"/>
    </sheetView>
  </sheetViews>
  <sheetFormatPr baseColWidth="10" defaultRowHeight="15"/>
  <cols>
    <col min="1" max="1" width="3.140625" customWidth="1"/>
    <col min="2" max="2" width="23.7109375" style="2" customWidth="1"/>
    <col min="3" max="3" width="26.7109375" style="8" customWidth="1"/>
    <col min="4" max="4" width="19.28515625" style="10" customWidth="1"/>
    <col min="5" max="5" width="7.7109375" style="269" customWidth="1"/>
    <col min="6" max="6" width="15" style="19" customWidth="1"/>
    <col min="7" max="7" width="7.7109375" style="2" customWidth="1"/>
  </cols>
  <sheetData>
    <row r="1" spans="2:7" ht="18" customHeight="1">
      <c r="B1" s="294" t="s">
        <v>126</v>
      </c>
      <c r="C1" s="294"/>
      <c r="D1" s="294"/>
      <c r="E1" s="294"/>
      <c r="F1" s="294"/>
      <c r="G1" s="294"/>
    </row>
    <row r="2" spans="2:7" ht="18" customHeight="1">
      <c r="B2" s="294" t="s">
        <v>94</v>
      </c>
      <c r="C2" s="294"/>
      <c r="D2" s="294"/>
      <c r="E2" s="294"/>
      <c r="F2" s="294"/>
      <c r="G2" s="294"/>
    </row>
    <row r="3" spans="2:7" ht="11.25" customHeight="1">
      <c r="B3" s="300"/>
      <c r="C3" s="300"/>
      <c r="D3" s="300"/>
      <c r="E3" s="300"/>
      <c r="F3" s="300"/>
      <c r="G3" s="300"/>
    </row>
    <row r="4" spans="2:7" s="17" customFormat="1" ht="43.5" customHeight="1">
      <c r="B4" s="266" t="s">
        <v>0</v>
      </c>
      <c r="C4" s="266" t="s">
        <v>1</v>
      </c>
      <c r="D4" s="106" t="s">
        <v>8</v>
      </c>
      <c r="E4" s="266"/>
      <c r="F4" s="144" t="s">
        <v>9</v>
      </c>
      <c r="G4" s="16"/>
    </row>
    <row r="5" spans="2:7" s="1" customFormat="1" ht="9" customHeight="1">
      <c r="B5" s="297"/>
      <c r="C5" s="298"/>
      <c r="D5" s="298"/>
      <c r="E5" s="298"/>
      <c r="F5" s="298"/>
      <c r="G5" s="299"/>
    </row>
    <row r="6" spans="2:7" ht="15.95" customHeight="1">
      <c r="B6" s="4" t="s">
        <v>3</v>
      </c>
      <c r="C6" s="263"/>
      <c r="D6" s="268">
        <v>100</v>
      </c>
      <c r="E6" s="5"/>
      <c r="F6" s="262">
        <f>D6/1</f>
        <v>100</v>
      </c>
      <c r="G6" s="5"/>
    </row>
    <row r="7" spans="2:7" ht="9" customHeight="1">
      <c r="B7" s="270"/>
      <c r="C7" s="271"/>
      <c r="D7" s="271"/>
      <c r="E7" s="271"/>
      <c r="F7" s="271"/>
      <c r="G7" s="272"/>
    </row>
    <row r="8" spans="2:7" ht="30" customHeight="1">
      <c r="B8" s="293" t="s">
        <v>2</v>
      </c>
      <c r="C8" s="263" t="s">
        <v>4</v>
      </c>
      <c r="D8" s="268">
        <v>103</v>
      </c>
      <c r="E8" s="5"/>
      <c r="F8" s="291">
        <f>SUM(D8:D11)/4</f>
        <v>101.75</v>
      </c>
      <c r="G8" s="373"/>
    </row>
    <row r="9" spans="2:7" ht="15.95" customHeight="1">
      <c r="B9" s="293"/>
      <c r="C9" s="263" t="s">
        <v>5</v>
      </c>
      <c r="D9" s="268">
        <v>94.5</v>
      </c>
      <c r="E9" s="7"/>
      <c r="F9" s="291"/>
      <c r="G9" s="373"/>
    </row>
    <row r="10" spans="2:7" ht="15.95" customHeight="1">
      <c r="B10" s="293"/>
      <c r="C10" s="263" t="s">
        <v>6</v>
      </c>
      <c r="D10" s="268">
        <v>84.5</v>
      </c>
      <c r="E10" s="7"/>
      <c r="F10" s="291"/>
      <c r="G10" s="373"/>
    </row>
    <row r="11" spans="2:7" ht="27.75" customHeight="1">
      <c r="B11" s="293"/>
      <c r="C11" s="263" t="s">
        <v>7</v>
      </c>
      <c r="D11" s="268">
        <v>125</v>
      </c>
      <c r="E11" s="7"/>
      <c r="F11" s="291"/>
      <c r="G11" s="373"/>
    </row>
    <row r="12" spans="2:7" ht="9" customHeight="1">
      <c r="B12" s="288"/>
      <c r="C12" s="289"/>
      <c r="D12" s="289"/>
      <c r="E12" s="289"/>
      <c r="F12" s="289"/>
      <c r="G12" s="290"/>
    </row>
    <row r="13" spans="2:7" ht="15.95" customHeight="1">
      <c r="B13" s="293" t="s">
        <v>11</v>
      </c>
      <c r="C13" s="263" t="s">
        <v>12</v>
      </c>
      <c r="D13" s="268">
        <v>100</v>
      </c>
      <c r="E13" s="267"/>
      <c r="F13" s="291">
        <f>(D13+D14)/2</f>
        <v>100</v>
      </c>
      <c r="G13" s="295"/>
    </row>
    <row r="14" spans="2:7" ht="15.95" customHeight="1">
      <c r="B14" s="293"/>
      <c r="C14" s="263" t="s">
        <v>13</v>
      </c>
      <c r="D14" s="268">
        <v>100</v>
      </c>
      <c r="E14" s="267"/>
      <c r="F14" s="291"/>
      <c r="G14" s="296"/>
    </row>
    <row r="15" spans="2:7" ht="9" customHeight="1">
      <c r="B15" s="288"/>
      <c r="C15" s="289"/>
      <c r="D15" s="289"/>
      <c r="E15" s="289"/>
      <c r="F15" s="289"/>
      <c r="G15" s="290"/>
    </row>
    <row r="16" spans="2:7" ht="27" customHeight="1">
      <c r="B16" s="293" t="s">
        <v>14</v>
      </c>
      <c r="C16" s="263" t="s">
        <v>15</v>
      </c>
      <c r="D16" s="268">
        <v>103</v>
      </c>
      <c r="E16" s="267"/>
      <c r="F16" s="291">
        <f>SUM(D16:D19)/4</f>
        <v>98</v>
      </c>
      <c r="G16" s="282"/>
    </row>
    <row r="17" spans="2:7" ht="27" customHeight="1">
      <c r="B17" s="293"/>
      <c r="C17" s="263" t="s">
        <v>93</v>
      </c>
      <c r="D17" s="268">
        <v>100</v>
      </c>
      <c r="E17" s="267"/>
      <c r="F17" s="291"/>
      <c r="G17" s="283"/>
    </row>
    <row r="18" spans="2:7" ht="22.5" customHeight="1">
      <c r="B18" s="293"/>
      <c r="C18" s="263" t="s">
        <v>17</v>
      </c>
      <c r="D18" s="268">
        <v>89</v>
      </c>
      <c r="E18" s="264"/>
      <c r="F18" s="291"/>
      <c r="G18" s="283"/>
    </row>
    <row r="19" spans="2:7" ht="15.95" customHeight="1">
      <c r="B19" s="293"/>
      <c r="C19" s="263" t="s">
        <v>18</v>
      </c>
      <c r="D19" s="268">
        <v>100</v>
      </c>
      <c r="E19" s="267" t="s">
        <v>124</v>
      </c>
      <c r="F19" s="291"/>
      <c r="G19" s="284"/>
    </row>
    <row r="20" spans="2:7" ht="9" customHeight="1">
      <c r="B20" s="270"/>
      <c r="C20" s="271"/>
      <c r="D20" s="271"/>
      <c r="E20" s="271"/>
      <c r="F20" s="271"/>
      <c r="G20" s="272"/>
    </row>
    <row r="21" spans="2:7" ht="15.95" customHeight="1">
      <c r="B21" s="285" t="s">
        <v>19</v>
      </c>
      <c r="C21" s="263" t="s">
        <v>20</v>
      </c>
      <c r="D21" s="268">
        <v>97.5</v>
      </c>
      <c r="E21" s="264"/>
      <c r="F21" s="279">
        <f>SUM(D21:D32)/12</f>
        <v>94</v>
      </c>
      <c r="G21" s="282"/>
    </row>
    <row r="22" spans="2:7" ht="15.95" customHeight="1">
      <c r="B22" s="286"/>
      <c r="C22" s="263" t="s">
        <v>21</v>
      </c>
      <c r="D22" s="268">
        <v>84</v>
      </c>
      <c r="E22" s="264"/>
      <c r="F22" s="280"/>
      <c r="G22" s="283"/>
    </row>
    <row r="23" spans="2:7" ht="15.95" customHeight="1">
      <c r="B23" s="286"/>
      <c r="C23" s="263" t="s">
        <v>22</v>
      </c>
      <c r="D23" s="268">
        <v>100</v>
      </c>
      <c r="E23" s="267"/>
      <c r="F23" s="280"/>
      <c r="G23" s="283"/>
    </row>
    <row r="24" spans="2:7" ht="15.95" customHeight="1">
      <c r="B24" s="286"/>
      <c r="C24" s="263" t="s">
        <v>23</v>
      </c>
      <c r="D24" s="268">
        <v>97</v>
      </c>
      <c r="E24" s="264"/>
      <c r="F24" s="280"/>
      <c r="G24" s="283"/>
    </row>
    <row r="25" spans="2:7" ht="15.95" customHeight="1">
      <c r="B25" s="286"/>
      <c r="C25" s="263" t="s">
        <v>24</v>
      </c>
      <c r="D25" s="268">
        <v>100</v>
      </c>
      <c r="E25" s="267"/>
      <c r="F25" s="280"/>
      <c r="G25" s="283"/>
    </row>
    <row r="26" spans="2:7" ht="15.95" customHeight="1">
      <c r="B26" s="286"/>
      <c r="C26" s="263" t="s">
        <v>25</v>
      </c>
      <c r="D26" s="268">
        <v>105.5</v>
      </c>
      <c r="E26" s="267"/>
      <c r="F26" s="280"/>
      <c r="G26" s="283"/>
    </row>
    <row r="27" spans="2:7" ht="15.95" customHeight="1">
      <c r="B27" s="286"/>
      <c r="C27" s="263" t="s">
        <v>26</v>
      </c>
      <c r="D27" s="268">
        <v>90.5</v>
      </c>
      <c r="E27" s="264"/>
      <c r="F27" s="280"/>
      <c r="G27" s="283"/>
    </row>
    <row r="28" spans="2:7" ht="29.25" customHeight="1">
      <c r="B28" s="286"/>
      <c r="C28" s="263" t="s">
        <v>27</v>
      </c>
      <c r="D28" s="268">
        <v>89</v>
      </c>
      <c r="E28" s="264"/>
      <c r="F28" s="280"/>
      <c r="G28" s="283"/>
    </row>
    <row r="29" spans="2:7" ht="15.95" customHeight="1">
      <c r="B29" s="286"/>
      <c r="C29" s="263" t="s">
        <v>28</v>
      </c>
      <c r="D29" s="268">
        <v>65.5</v>
      </c>
      <c r="E29" s="264"/>
      <c r="F29" s="280"/>
      <c r="G29" s="283"/>
    </row>
    <row r="30" spans="2:7" ht="15.95" customHeight="1">
      <c r="B30" s="286"/>
      <c r="C30" s="263" t="s">
        <v>29</v>
      </c>
      <c r="D30" s="268">
        <v>105.5</v>
      </c>
      <c r="E30" s="267"/>
      <c r="F30" s="280"/>
      <c r="G30" s="283"/>
    </row>
    <row r="31" spans="2:7" ht="15.95" customHeight="1">
      <c r="B31" s="286"/>
      <c r="C31" s="263" t="s">
        <v>30</v>
      </c>
      <c r="D31" s="268">
        <v>98.5</v>
      </c>
      <c r="E31" s="264"/>
      <c r="F31" s="280"/>
      <c r="G31" s="283"/>
    </row>
    <row r="32" spans="2:7" ht="15.95" customHeight="1">
      <c r="B32" s="287"/>
      <c r="C32" s="263" t="s">
        <v>31</v>
      </c>
      <c r="D32" s="268">
        <v>95</v>
      </c>
      <c r="E32" s="264"/>
      <c r="F32" s="281"/>
      <c r="G32" s="284"/>
    </row>
    <row r="33" spans="2:7" ht="9" customHeight="1">
      <c r="B33" s="270"/>
      <c r="C33" s="271"/>
      <c r="D33" s="271"/>
      <c r="E33" s="271"/>
      <c r="F33" s="271"/>
      <c r="G33" s="272"/>
    </row>
    <row r="34" spans="2:7" ht="26.25" customHeight="1">
      <c r="B34" s="285" t="s">
        <v>32</v>
      </c>
      <c r="C34" s="263" t="s">
        <v>33</v>
      </c>
      <c r="D34" s="268">
        <v>90.5</v>
      </c>
      <c r="E34" s="264"/>
      <c r="F34" s="279">
        <f>SUM(D34:D39)/6</f>
        <v>83.75</v>
      </c>
      <c r="G34" s="282"/>
    </row>
    <row r="35" spans="2:7" ht="15.95" customHeight="1">
      <c r="B35" s="286"/>
      <c r="C35" s="263" t="s">
        <v>34</v>
      </c>
      <c r="D35" s="268">
        <v>89.5</v>
      </c>
      <c r="E35" s="264"/>
      <c r="F35" s="280"/>
      <c r="G35" s="283"/>
    </row>
    <row r="36" spans="2:7" ht="15.95" customHeight="1">
      <c r="B36" s="286"/>
      <c r="C36" s="263" t="s">
        <v>35</v>
      </c>
      <c r="D36" s="268">
        <v>122.5</v>
      </c>
      <c r="E36" s="267"/>
      <c r="F36" s="280"/>
      <c r="G36" s="283"/>
    </row>
    <row r="37" spans="2:7" ht="27.75" customHeight="1">
      <c r="B37" s="286"/>
      <c r="C37" s="263" t="s">
        <v>36</v>
      </c>
      <c r="D37" s="268">
        <v>37</v>
      </c>
      <c r="E37" s="14"/>
      <c r="F37" s="280"/>
      <c r="G37" s="283"/>
    </row>
    <row r="38" spans="2:7" ht="27" customHeight="1">
      <c r="B38" s="286"/>
      <c r="C38" s="263" t="s">
        <v>37</v>
      </c>
      <c r="D38" s="268">
        <v>105</v>
      </c>
      <c r="E38" s="267"/>
      <c r="F38" s="280"/>
      <c r="G38" s="283"/>
    </row>
    <row r="39" spans="2:7" ht="15.95" customHeight="1">
      <c r="B39" s="287"/>
      <c r="C39" s="263" t="s">
        <v>38</v>
      </c>
      <c r="D39" s="268">
        <v>58</v>
      </c>
      <c r="E39" s="264"/>
      <c r="F39" s="281"/>
      <c r="G39" s="284"/>
    </row>
    <row r="40" spans="2:7" ht="9" customHeight="1">
      <c r="B40" s="270"/>
      <c r="C40" s="271"/>
      <c r="D40" s="271"/>
      <c r="E40" s="271"/>
      <c r="F40" s="271"/>
      <c r="G40" s="272"/>
    </row>
    <row r="41" spans="2:7" ht="27.75" customHeight="1">
      <c r="B41" s="276" t="s">
        <v>39</v>
      </c>
      <c r="C41" s="263" t="s">
        <v>40</v>
      </c>
      <c r="D41" s="268">
        <v>96</v>
      </c>
      <c r="E41" s="264"/>
      <c r="F41" s="279">
        <f>SUM(D41:D50)/8</f>
        <v>99.75</v>
      </c>
      <c r="G41" s="282"/>
    </row>
    <row r="42" spans="2:7" ht="15.95" customHeight="1">
      <c r="B42" s="277"/>
      <c r="C42" s="263" t="s">
        <v>41</v>
      </c>
      <c r="D42" s="268">
        <v>100</v>
      </c>
      <c r="E42" s="267"/>
      <c r="F42" s="280"/>
      <c r="G42" s="283"/>
    </row>
    <row r="43" spans="2:7" ht="26.25" customHeight="1">
      <c r="B43" s="277"/>
      <c r="C43" s="263" t="s">
        <v>42</v>
      </c>
      <c r="D43" s="268">
        <v>108.5</v>
      </c>
      <c r="E43" s="267"/>
      <c r="F43" s="280"/>
      <c r="G43" s="283"/>
    </row>
    <row r="44" spans="2:7" ht="15.95" customHeight="1">
      <c r="B44" s="277"/>
      <c r="C44" s="263" t="s">
        <v>43</v>
      </c>
      <c r="D44" s="268">
        <v>75</v>
      </c>
      <c r="E44" s="264"/>
      <c r="F44" s="280"/>
      <c r="G44" s="283"/>
    </row>
    <row r="45" spans="2:7" ht="27" customHeight="1">
      <c r="B45" s="277"/>
      <c r="C45" s="263" t="s">
        <v>44</v>
      </c>
      <c r="D45" s="268">
        <v>95</v>
      </c>
      <c r="E45" s="264"/>
      <c r="F45" s="280"/>
      <c r="G45" s="283"/>
    </row>
    <row r="46" spans="2:7" ht="29.25" customHeight="1">
      <c r="B46" s="277"/>
      <c r="C46" s="263" t="s">
        <v>45</v>
      </c>
      <c r="D46" s="268">
        <v>73.5</v>
      </c>
      <c r="E46" s="264"/>
      <c r="F46" s="280"/>
      <c r="G46" s="283"/>
    </row>
    <row r="47" spans="2:7" ht="30" customHeight="1">
      <c r="B47" s="277"/>
      <c r="C47" s="263" t="s">
        <v>46</v>
      </c>
      <c r="D47" s="268">
        <v>74</v>
      </c>
      <c r="E47" s="264"/>
      <c r="F47" s="280"/>
      <c r="G47" s="283"/>
    </row>
    <row r="48" spans="2:7" ht="15.95" customHeight="1">
      <c r="B48" s="277"/>
      <c r="C48" s="263" t="s">
        <v>47</v>
      </c>
      <c r="D48" s="268">
        <v>1</v>
      </c>
      <c r="E48" s="14"/>
      <c r="F48" s="280"/>
      <c r="G48" s="283"/>
    </row>
    <row r="49" spans="2:10" ht="26.25" customHeight="1">
      <c r="B49" s="277"/>
      <c r="C49" s="263" t="s">
        <v>48</v>
      </c>
      <c r="D49" s="268">
        <v>75</v>
      </c>
      <c r="E49" s="264"/>
      <c r="F49" s="280"/>
      <c r="G49" s="283"/>
      <c r="J49" t="s">
        <v>124</v>
      </c>
    </row>
    <row r="50" spans="2:10" ht="15.95" customHeight="1">
      <c r="B50" s="278"/>
      <c r="C50" s="263" t="s">
        <v>49</v>
      </c>
      <c r="D50" s="268">
        <v>100</v>
      </c>
      <c r="E50" s="267"/>
      <c r="F50" s="281"/>
      <c r="G50" s="284"/>
    </row>
    <row r="51" spans="2:10" ht="9" customHeight="1">
      <c r="B51" s="270"/>
      <c r="C51" s="271"/>
      <c r="D51" s="271"/>
      <c r="E51" s="271"/>
      <c r="F51" s="271"/>
      <c r="G51" s="272"/>
    </row>
    <row r="52" spans="2:10" ht="15.95" customHeight="1">
      <c r="B52" s="273" t="s">
        <v>134</v>
      </c>
      <c r="C52" s="274"/>
      <c r="D52" s="274"/>
      <c r="E52" s="275"/>
      <c r="F52" s="265">
        <f>SUM(F6+F8+F13+F16+F21+F34+F41)/7</f>
        <v>96.75</v>
      </c>
      <c r="G52" s="7"/>
    </row>
    <row r="67" spans="3:3">
      <c r="C67" s="2"/>
    </row>
  </sheetData>
  <mergeCells count="30">
    <mergeCell ref="B40:G40"/>
    <mergeCell ref="B41:B50"/>
    <mergeCell ref="F41:F50"/>
    <mergeCell ref="G41:G50"/>
    <mergeCell ref="B51:G51"/>
    <mergeCell ref="B52:E52"/>
    <mergeCell ref="B20:G20"/>
    <mergeCell ref="B21:B32"/>
    <mergeCell ref="F21:F32"/>
    <mergeCell ref="G21:G32"/>
    <mergeCell ref="B33:G33"/>
    <mergeCell ref="B34:B39"/>
    <mergeCell ref="F34:F39"/>
    <mergeCell ref="G34:G39"/>
    <mergeCell ref="B12:G12"/>
    <mergeCell ref="B13:B14"/>
    <mergeCell ref="F13:F14"/>
    <mergeCell ref="G13:G14"/>
    <mergeCell ref="B15:G15"/>
    <mergeCell ref="B16:B19"/>
    <mergeCell ref="F16:F19"/>
    <mergeCell ref="G16:G19"/>
    <mergeCell ref="B1:G1"/>
    <mergeCell ref="B2:G2"/>
    <mergeCell ref="B3:G3"/>
    <mergeCell ref="B5:G5"/>
    <mergeCell ref="B7:G7"/>
    <mergeCell ref="B8:B11"/>
    <mergeCell ref="F8:F11"/>
    <mergeCell ref="G8:G11"/>
  </mergeCells>
  <pageMargins left="0.70866141732283472" right="0.70866141732283472" top="0.74803149606299213" bottom="0.74803149606299213" header="0.31496062992125984" footer="0.31496062992125984"/>
  <pageSetup scale="95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94"/>
  <sheetViews>
    <sheetView topLeftCell="A46" zoomScaleNormal="100" workbookViewId="0">
      <pane ySplit="5" topLeftCell="A51" activePane="bottomLeft" state="frozen"/>
      <selection activeCell="A46" sqref="A46"/>
      <selection pane="bottomLeft" activeCell="M69" sqref="M69"/>
    </sheetView>
  </sheetViews>
  <sheetFormatPr baseColWidth="10" defaultRowHeight="15"/>
  <cols>
    <col min="1" max="1" width="20.28515625" customWidth="1"/>
    <col min="2" max="2" width="28.5703125" style="8" customWidth="1"/>
    <col min="3" max="3" width="7.140625" style="8" customWidth="1"/>
    <col min="4" max="4" width="5.7109375" style="8" customWidth="1"/>
    <col min="5" max="5" width="7.28515625" style="8" customWidth="1"/>
    <col min="6" max="6" width="5.7109375" style="8" customWidth="1"/>
    <col min="7" max="7" width="1.42578125" style="41" customWidth="1"/>
    <col min="8" max="8" width="6.85546875" style="8" customWidth="1"/>
    <col min="9" max="9" width="6.28515625" style="8" customWidth="1"/>
    <col min="10" max="10" width="6.7109375" style="8" customWidth="1"/>
    <col min="11" max="11" width="6.28515625" style="10" customWidth="1"/>
    <col min="12" max="12" width="1.42578125" style="61" customWidth="1"/>
    <col min="13" max="13" width="6.85546875" style="8" customWidth="1"/>
    <col min="14" max="14" width="6.28515625" style="8" customWidth="1"/>
    <col min="15" max="15" width="6.7109375" style="8" customWidth="1"/>
    <col min="16" max="16" width="6.28515625" style="10" customWidth="1"/>
    <col min="17" max="17" width="2" style="61" customWidth="1"/>
    <col min="18" max="18" width="6.5703125" style="61" customWidth="1"/>
    <col min="19" max="19" width="5.140625" style="31" customWidth="1"/>
    <col min="20" max="20" width="6.5703125" style="32" customWidth="1"/>
    <col min="21" max="21" width="6.42578125" style="33" customWidth="1"/>
  </cols>
  <sheetData>
    <row r="1" spans="2:21" ht="18" hidden="1" customHeight="1"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2" spans="2:21" ht="18" hidden="1" customHeight="1"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2:21" ht="18" hidden="1" customHeight="1"/>
    <row r="4" spans="2:21" ht="18" hidden="1" customHeight="1">
      <c r="B4" s="342" t="s">
        <v>1</v>
      </c>
      <c r="C4" s="325">
        <v>2016</v>
      </c>
      <c r="D4" s="325"/>
      <c r="E4" s="325"/>
      <c r="F4" s="325"/>
      <c r="G4" s="52"/>
      <c r="H4" s="325">
        <v>2017</v>
      </c>
      <c r="I4" s="325"/>
      <c r="J4" s="325"/>
      <c r="K4" s="325"/>
      <c r="L4" s="62"/>
      <c r="M4" s="325">
        <v>2017</v>
      </c>
      <c r="N4" s="325"/>
      <c r="O4" s="325"/>
      <c r="P4" s="325"/>
      <c r="Q4" s="62"/>
      <c r="R4" s="326" t="s">
        <v>61</v>
      </c>
      <c r="S4" s="326"/>
      <c r="T4" s="326"/>
      <c r="U4" s="326"/>
    </row>
    <row r="5" spans="2:21" s="17" customFormat="1" ht="43.5" hidden="1" customHeight="1">
      <c r="B5" s="342"/>
      <c r="C5" s="210" t="s">
        <v>58</v>
      </c>
      <c r="D5" s="210"/>
      <c r="E5" s="210" t="s">
        <v>58</v>
      </c>
      <c r="F5" s="210"/>
      <c r="G5" s="53"/>
      <c r="H5" s="210" t="s">
        <v>58</v>
      </c>
      <c r="I5" s="210"/>
      <c r="J5" s="210" t="s">
        <v>58</v>
      </c>
      <c r="K5" s="210"/>
      <c r="L5" s="54"/>
      <c r="M5" s="210" t="s">
        <v>58</v>
      </c>
      <c r="N5" s="210"/>
      <c r="O5" s="210" t="s">
        <v>58</v>
      </c>
      <c r="P5" s="210"/>
      <c r="Q5" s="54"/>
      <c r="R5" s="70" t="s">
        <v>62</v>
      </c>
      <c r="S5" s="53"/>
      <c r="T5" s="71" t="s">
        <v>60</v>
      </c>
      <c r="U5" s="72"/>
    </row>
    <row r="6" spans="2:21" ht="15.95" hidden="1" customHeight="1">
      <c r="B6" s="75" t="s">
        <v>63</v>
      </c>
      <c r="C6" s="206">
        <v>100</v>
      </c>
      <c r="D6" s="211"/>
      <c r="E6" s="206">
        <v>100</v>
      </c>
      <c r="F6" s="206"/>
      <c r="G6" s="53"/>
      <c r="H6" s="216">
        <v>50</v>
      </c>
      <c r="I6" s="47"/>
      <c r="J6" s="216">
        <v>50</v>
      </c>
      <c r="K6" s="47"/>
      <c r="L6" s="63"/>
      <c r="M6" s="216">
        <v>50</v>
      </c>
      <c r="N6" s="47"/>
      <c r="O6" s="216">
        <v>50</v>
      </c>
      <c r="P6" s="47"/>
      <c r="Q6" s="63"/>
      <c r="R6" s="215">
        <f>((C6+H6)*37.5)/150</f>
        <v>37.5</v>
      </c>
      <c r="S6" s="65"/>
      <c r="T6" s="208">
        <v>37.5</v>
      </c>
      <c r="U6" s="5"/>
    </row>
    <row r="7" spans="2:21" ht="15.95" hidden="1" customHeight="1">
      <c r="B7" s="74" t="s">
        <v>4</v>
      </c>
      <c r="C7" s="206">
        <v>86</v>
      </c>
      <c r="D7" s="207"/>
      <c r="E7" s="320">
        <f>SUM(C7:C10)/4</f>
        <v>71</v>
      </c>
      <c r="F7" s="323"/>
      <c r="G7" s="53"/>
      <c r="H7" s="216">
        <f>(147*50)/100</f>
        <v>73.5</v>
      </c>
      <c r="I7" s="47"/>
      <c r="J7" s="306">
        <f>SUM(H7:H10)/4</f>
        <v>46.375</v>
      </c>
      <c r="K7" s="302"/>
      <c r="L7" s="213"/>
      <c r="M7" s="216">
        <f>(147*50)/100</f>
        <v>73.5</v>
      </c>
      <c r="N7" s="47"/>
      <c r="O7" s="306">
        <f>SUM(M7:M10)/4</f>
        <v>46.375</v>
      </c>
      <c r="P7" s="302"/>
      <c r="Q7" s="213"/>
      <c r="R7" s="66">
        <f t="shared" ref="R7:R13" si="0">((C7+H7)*37.5/150)</f>
        <v>39.875</v>
      </c>
      <c r="S7" s="65"/>
      <c r="T7" s="331">
        <f>SUM(R7:R10)/4</f>
        <v>29.34375</v>
      </c>
      <c r="U7" s="349"/>
    </row>
    <row r="8" spans="2:21" ht="15.95" hidden="1" customHeight="1">
      <c r="B8" s="77" t="s">
        <v>5</v>
      </c>
      <c r="C8" s="206">
        <v>72</v>
      </c>
      <c r="D8" s="207"/>
      <c r="E8" s="320"/>
      <c r="F8" s="323"/>
      <c r="G8" s="53"/>
      <c r="H8" s="216">
        <v>50</v>
      </c>
      <c r="I8" s="47"/>
      <c r="J8" s="306"/>
      <c r="K8" s="303"/>
      <c r="L8" s="213"/>
      <c r="M8" s="216">
        <v>50</v>
      </c>
      <c r="N8" s="47"/>
      <c r="O8" s="306"/>
      <c r="P8" s="303"/>
      <c r="Q8" s="213"/>
      <c r="R8" s="66">
        <f t="shared" si="0"/>
        <v>30.5</v>
      </c>
      <c r="S8" s="67"/>
      <c r="T8" s="332"/>
      <c r="U8" s="350"/>
    </row>
    <row r="9" spans="2:21" ht="15.95" hidden="1" customHeight="1">
      <c r="B9" s="77" t="s">
        <v>6</v>
      </c>
      <c r="C9" s="206">
        <v>59</v>
      </c>
      <c r="D9" s="207"/>
      <c r="E9" s="320"/>
      <c r="F9" s="323"/>
      <c r="G9" s="53"/>
      <c r="H9" s="216">
        <v>24.5</v>
      </c>
      <c r="I9" s="48"/>
      <c r="J9" s="306"/>
      <c r="K9" s="303"/>
      <c r="L9" s="213"/>
      <c r="M9" s="216">
        <v>24.5</v>
      </c>
      <c r="N9" s="48"/>
      <c r="O9" s="306"/>
      <c r="P9" s="303"/>
      <c r="Q9" s="213"/>
      <c r="R9" s="66">
        <f t="shared" si="0"/>
        <v>20.875</v>
      </c>
      <c r="S9" s="68"/>
      <c r="T9" s="332"/>
      <c r="U9" s="350"/>
    </row>
    <row r="10" spans="2:21" ht="27.75" hidden="1" customHeight="1">
      <c r="B10" s="77" t="s">
        <v>7</v>
      </c>
      <c r="C10" s="206">
        <v>67</v>
      </c>
      <c r="D10" s="207"/>
      <c r="E10" s="320"/>
      <c r="F10" s="323"/>
      <c r="G10" s="53"/>
      <c r="H10" s="216">
        <f>(75*50)/100</f>
        <v>37.5</v>
      </c>
      <c r="I10" s="214"/>
      <c r="J10" s="306"/>
      <c r="K10" s="304"/>
      <c r="L10" s="213"/>
      <c r="M10" s="216">
        <f>(75*50)/100</f>
        <v>37.5</v>
      </c>
      <c r="N10" s="214"/>
      <c r="O10" s="306"/>
      <c r="P10" s="304"/>
      <c r="Q10" s="213"/>
      <c r="R10" s="66">
        <f t="shared" si="0"/>
        <v>26.125</v>
      </c>
      <c r="S10" s="67"/>
      <c r="T10" s="333"/>
      <c r="U10" s="351"/>
    </row>
    <row r="11" spans="2:21" ht="15.95" hidden="1" customHeight="1">
      <c r="B11" s="76" t="s">
        <v>12</v>
      </c>
      <c r="C11" s="206">
        <v>100</v>
      </c>
      <c r="D11" s="211"/>
      <c r="E11" s="320">
        <f>SUM(C11:C12)/2</f>
        <v>100</v>
      </c>
      <c r="F11" s="343"/>
      <c r="G11" s="53"/>
      <c r="H11" s="216">
        <v>50</v>
      </c>
      <c r="I11" s="47"/>
      <c r="J11" s="312">
        <f>SUM(H11:H12)/2</f>
        <v>50</v>
      </c>
      <c r="K11" s="317"/>
      <c r="L11" s="213"/>
      <c r="M11" s="216">
        <v>50</v>
      </c>
      <c r="N11" s="47"/>
      <c r="O11" s="312">
        <f>SUM(M11:M12)/2</f>
        <v>50</v>
      </c>
      <c r="P11" s="317"/>
      <c r="Q11" s="213"/>
      <c r="R11" s="66">
        <f t="shared" si="0"/>
        <v>37.5</v>
      </c>
      <c r="S11" s="420"/>
      <c r="T11" s="331">
        <f>SUM(R11:R12)/2</f>
        <v>37.5</v>
      </c>
      <c r="U11" s="419"/>
    </row>
    <row r="12" spans="2:21" ht="15.95" hidden="1" customHeight="1">
      <c r="B12" s="77" t="s">
        <v>13</v>
      </c>
      <c r="C12" s="206">
        <v>100</v>
      </c>
      <c r="D12" s="211"/>
      <c r="E12" s="320"/>
      <c r="F12" s="343"/>
      <c r="G12" s="53"/>
      <c r="H12" s="216">
        <v>50</v>
      </c>
      <c r="I12" s="47"/>
      <c r="J12" s="313"/>
      <c r="K12" s="317"/>
      <c r="L12" s="213"/>
      <c r="M12" s="216">
        <v>50</v>
      </c>
      <c r="N12" s="47"/>
      <c r="O12" s="313"/>
      <c r="P12" s="317"/>
      <c r="Q12" s="213"/>
      <c r="R12" s="66">
        <f t="shared" si="0"/>
        <v>37.5</v>
      </c>
      <c r="S12" s="420"/>
      <c r="T12" s="333"/>
      <c r="U12" s="419"/>
    </row>
    <row r="13" spans="2:21" ht="27" hidden="1" customHeight="1">
      <c r="B13" s="77" t="s">
        <v>15</v>
      </c>
      <c r="C13" s="206">
        <v>54</v>
      </c>
      <c r="D13" s="207"/>
      <c r="E13" s="306">
        <f>SUM(C13:C16)/4</f>
        <v>60.25</v>
      </c>
      <c r="F13" s="323"/>
      <c r="G13" s="53"/>
      <c r="H13" s="216">
        <f>(50*50)/100</f>
        <v>25</v>
      </c>
      <c r="I13" s="48"/>
      <c r="J13" s="306">
        <f>SUM(H13:H16)/4</f>
        <v>28.625</v>
      </c>
      <c r="K13" s="318"/>
      <c r="L13" s="213"/>
      <c r="M13" s="216">
        <f>(50*50)/100</f>
        <v>25</v>
      </c>
      <c r="N13" s="48"/>
      <c r="O13" s="306">
        <f>SUM(M13:M16)/4</f>
        <v>28.625</v>
      </c>
      <c r="P13" s="318"/>
      <c r="Q13" s="213"/>
      <c r="R13" s="66">
        <f t="shared" si="0"/>
        <v>19.75</v>
      </c>
      <c r="S13" s="67"/>
      <c r="T13" s="331">
        <f>SUM(R13:R16)/4</f>
        <v>22.21875</v>
      </c>
      <c r="U13" s="327"/>
    </row>
    <row r="14" spans="2:21" ht="27" hidden="1" customHeight="1">
      <c r="B14" s="74" t="s">
        <v>16</v>
      </c>
      <c r="C14" s="206">
        <v>71</v>
      </c>
      <c r="D14" s="207"/>
      <c r="E14" s="306"/>
      <c r="F14" s="323"/>
      <c r="G14" s="53"/>
      <c r="H14" s="216">
        <f>(79*50)/100</f>
        <v>39.5</v>
      </c>
      <c r="I14" s="214"/>
      <c r="J14" s="306"/>
      <c r="K14" s="318"/>
      <c r="L14" s="213"/>
      <c r="M14" s="216">
        <f>(79*50)/100</f>
        <v>39.5</v>
      </c>
      <c r="N14" s="214"/>
      <c r="O14" s="306"/>
      <c r="P14" s="318"/>
      <c r="Q14" s="213"/>
      <c r="R14" s="66">
        <f t="shared" ref="R14:R44" si="1">((C14+H14)*37.5/150)</f>
        <v>27.625</v>
      </c>
      <c r="S14" s="67"/>
      <c r="T14" s="332"/>
      <c r="U14" s="327"/>
    </row>
    <row r="15" spans="2:21" ht="15.95" hidden="1" customHeight="1">
      <c r="B15" s="74" t="s">
        <v>17</v>
      </c>
      <c r="C15" s="206">
        <v>50</v>
      </c>
      <c r="D15" s="207"/>
      <c r="E15" s="306"/>
      <c r="F15" s="323"/>
      <c r="G15" s="53"/>
      <c r="H15" s="216">
        <v>50</v>
      </c>
      <c r="I15" s="47"/>
      <c r="J15" s="306"/>
      <c r="K15" s="318"/>
      <c r="L15" s="213"/>
      <c r="M15" s="216">
        <v>50</v>
      </c>
      <c r="N15" s="47"/>
      <c r="O15" s="306"/>
      <c r="P15" s="318"/>
      <c r="Q15" s="213"/>
      <c r="R15" s="66">
        <f t="shared" si="1"/>
        <v>25</v>
      </c>
      <c r="S15" s="67"/>
      <c r="T15" s="332"/>
      <c r="U15" s="327"/>
    </row>
    <row r="16" spans="2:21" ht="15.95" hidden="1" customHeight="1">
      <c r="B16" s="77" t="s">
        <v>18</v>
      </c>
      <c r="C16" s="206">
        <v>66</v>
      </c>
      <c r="D16" s="207"/>
      <c r="E16" s="306"/>
      <c r="F16" s="323"/>
      <c r="G16" s="53"/>
      <c r="H16" s="216">
        <v>0</v>
      </c>
      <c r="I16" s="48"/>
      <c r="J16" s="306"/>
      <c r="K16" s="319"/>
      <c r="L16" s="213"/>
      <c r="M16" s="216">
        <v>0</v>
      </c>
      <c r="N16" s="48"/>
      <c r="O16" s="306"/>
      <c r="P16" s="319"/>
      <c r="Q16" s="213"/>
      <c r="R16" s="66">
        <f t="shared" si="1"/>
        <v>16.5</v>
      </c>
      <c r="S16" s="69"/>
      <c r="T16" s="333"/>
      <c r="U16" s="327"/>
    </row>
    <row r="17" spans="2:21" ht="15.95" hidden="1" customHeight="1">
      <c r="B17" s="76" t="s">
        <v>20</v>
      </c>
      <c r="C17" s="206">
        <v>56</v>
      </c>
      <c r="D17" s="207"/>
      <c r="E17" s="306">
        <f>SUM(C17:C28)/12</f>
        <v>75.583333333333329</v>
      </c>
      <c r="F17" s="323"/>
      <c r="G17" s="53"/>
      <c r="H17" s="216">
        <f>(123*50)/100</f>
        <v>61.5</v>
      </c>
      <c r="I17" s="47"/>
      <c r="J17" s="306">
        <f>SUM(H17:H28)/12</f>
        <v>49.583333333333336</v>
      </c>
      <c r="K17" s="308"/>
      <c r="L17" s="63"/>
      <c r="M17" s="216">
        <f>(123*50)/100</f>
        <v>61.5</v>
      </c>
      <c r="N17" s="47"/>
      <c r="O17" s="306">
        <f>SUM(M17:M28)/12</f>
        <v>49.583333333333336</v>
      </c>
      <c r="P17" s="308"/>
      <c r="Q17" s="63"/>
      <c r="R17" s="66">
        <f t="shared" si="1"/>
        <v>29.375</v>
      </c>
      <c r="S17" s="67"/>
      <c r="T17" s="331">
        <f>SUM(R17:R28)/12</f>
        <v>31.291666666666668</v>
      </c>
      <c r="U17" s="327"/>
    </row>
    <row r="18" spans="2:21" ht="15.95" hidden="1" customHeight="1">
      <c r="B18" s="74" t="s">
        <v>21</v>
      </c>
      <c r="C18" s="206">
        <v>77</v>
      </c>
      <c r="D18" s="207"/>
      <c r="E18" s="306"/>
      <c r="F18" s="323"/>
      <c r="G18" s="53"/>
      <c r="H18" s="216">
        <v>36.5</v>
      </c>
      <c r="I18" s="214"/>
      <c r="J18" s="306"/>
      <c r="K18" s="309"/>
      <c r="L18" s="63"/>
      <c r="M18" s="216">
        <v>36.5</v>
      </c>
      <c r="N18" s="214"/>
      <c r="O18" s="306"/>
      <c r="P18" s="309"/>
      <c r="Q18" s="63"/>
      <c r="R18" s="66">
        <f>((C18+H18)*37.5/150)</f>
        <v>28.375</v>
      </c>
      <c r="S18" s="67"/>
      <c r="T18" s="332"/>
      <c r="U18" s="327"/>
    </row>
    <row r="19" spans="2:21" ht="15.95" hidden="1" customHeight="1">
      <c r="B19" s="76" t="s">
        <v>22</v>
      </c>
      <c r="C19" s="206">
        <v>100</v>
      </c>
      <c r="D19" s="211"/>
      <c r="E19" s="306"/>
      <c r="F19" s="323"/>
      <c r="G19" s="53"/>
      <c r="H19" s="216">
        <v>50</v>
      </c>
      <c r="I19" s="47"/>
      <c r="J19" s="306"/>
      <c r="K19" s="309"/>
      <c r="L19" s="63"/>
      <c r="M19" s="216">
        <v>50</v>
      </c>
      <c r="N19" s="47"/>
      <c r="O19" s="306"/>
      <c r="P19" s="309"/>
      <c r="Q19" s="63"/>
      <c r="R19" s="66">
        <f t="shared" si="1"/>
        <v>37.5</v>
      </c>
      <c r="S19" s="65"/>
      <c r="T19" s="332"/>
      <c r="U19" s="327"/>
    </row>
    <row r="20" spans="2:21" ht="15.95" hidden="1" customHeight="1">
      <c r="B20" s="76" t="s">
        <v>23</v>
      </c>
      <c r="C20" s="206">
        <v>50</v>
      </c>
      <c r="D20" s="207"/>
      <c r="E20" s="306"/>
      <c r="F20" s="323"/>
      <c r="G20" s="53"/>
      <c r="H20" s="216">
        <v>50</v>
      </c>
      <c r="I20" s="47"/>
      <c r="J20" s="306"/>
      <c r="K20" s="309"/>
      <c r="L20" s="63"/>
      <c r="M20" s="216">
        <v>50</v>
      </c>
      <c r="N20" s="47"/>
      <c r="O20" s="306"/>
      <c r="P20" s="309"/>
      <c r="Q20" s="63"/>
      <c r="R20" s="66">
        <f t="shared" si="1"/>
        <v>25</v>
      </c>
      <c r="S20" s="67"/>
      <c r="T20" s="332"/>
      <c r="U20" s="327"/>
    </row>
    <row r="21" spans="2:21" ht="15.95" hidden="1" customHeight="1">
      <c r="B21" s="74" t="s">
        <v>24</v>
      </c>
      <c r="C21" s="206">
        <v>89</v>
      </c>
      <c r="D21" s="207"/>
      <c r="E21" s="306"/>
      <c r="F21" s="323"/>
      <c r="G21" s="53"/>
      <c r="H21" s="216">
        <f>(95*50)/100</f>
        <v>47.5</v>
      </c>
      <c r="I21" s="214"/>
      <c r="J21" s="306"/>
      <c r="K21" s="309"/>
      <c r="L21" s="63"/>
      <c r="M21" s="216">
        <f>(95*50)/100</f>
        <v>47.5</v>
      </c>
      <c r="N21" s="214"/>
      <c r="O21" s="306"/>
      <c r="P21" s="309"/>
      <c r="Q21" s="63"/>
      <c r="R21" s="66">
        <f t="shared" si="1"/>
        <v>34.125</v>
      </c>
      <c r="S21" s="67"/>
      <c r="T21" s="332"/>
      <c r="U21" s="327"/>
    </row>
    <row r="22" spans="2:21" ht="15.95" hidden="1" customHeight="1">
      <c r="B22" s="74" t="s">
        <v>25</v>
      </c>
      <c r="C22" s="206">
        <v>100</v>
      </c>
      <c r="D22" s="211"/>
      <c r="E22" s="306"/>
      <c r="F22" s="323"/>
      <c r="G22" s="53"/>
      <c r="H22" s="216">
        <f>(94*50)/100</f>
        <v>47</v>
      </c>
      <c r="I22" s="214"/>
      <c r="J22" s="306"/>
      <c r="K22" s="309"/>
      <c r="L22" s="63"/>
      <c r="M22" s="216">
        <f>(94*50)/100</f>
        <v>47</v>
      </c>
      <c r="N22" s="214"/>
      <c r="O22" s="306"/>
      <c r="P22" s="309"/>
      <c r="Q22" s="63"/>
      <c r="R22" s="66">
        <f t="shared" si="1"/>
        <v>36.75</v>
      </c>
      <c r="S22" s="67"/>
      <c r="T22" s="332"/>
      <c r="U22" s="327"/>
    </row>
    <row r="23" spans="2:21" ht="15.95" hidden="1" customHeight="1">
      <c r="B23" s="76" t="s">
        <v>26</v>
      </c>
      <c r="C23" s="206">
        <v>97</v>
      </c>
      <c r="D23" s="207"/>
      <c r="E23" s="306"/>
      <c r="F23" s="323"/>
      <c r="G23" s="53"/>
      <c r="H23" s="216">
        <f>(99*50)/100</f>
        <v>49.5</v>
      </c>
      <c r="I23" s="214"/>
      <c r="J23" s="306"/>
      <c r="K23" s="309"/>
      <c r="L23" s="63"/>
      <c r="M23" s="216">
        <f>(99*50)/100</f>
        <v>49.5</v>
      </c>
      <c r="N23" s="214"/>
      <c r="O23" s="306"/>
      <c r="P23" s="309"/>
      <c r="Q23" s="63"/>
      <c r="R23" s="66">
        <f t="shared" si="1"/>
        <v>36.625</v>
      </c>
      <c r="S23" s="67"/>
      <c r="T23" s="332"/>
      <c r="U23" s="327"/>
    </row>
    <row r="24" spans="2:21" ht="24.75" hidden="1" customHeight="1">
      <c r="B24" s="76" t="s">
        <v>27</v>
      </c>
      <c r="C24" s="206">
        <v>78</v>
      </c>
      <c r="D24" s="207"/>
      <c r="E24" s="306"/>
      <c r="F24" s="323"/>
      <c r="G24" s="53"/>
      <c r="H24" s="216">
        <f>(91*50)/100</f>
        <v>45.5</v>
      </c>
      <c r="I24" s="214"/>
      <c r="J24" s="306"/>
      <c r="K24" s="309"/>
      <c r="L24" s="63"/>
      <c r="M24" s="216">
        <f>(91*50)/100</f>
        <v>45.5</v>
      </c>
      <c r="N24" s="214"/>
      <c r="O24" s="306"/>
      <c r="P24" s="309"/>
      <c r="Q24" s="63"/>
      <c r="R24" s="66">
        <f t="shared" si="1"/>
        <v>30.875</v>
      </c>
      <c r="S24" s="67"/>
      <c r="T24" s="332"/>
      <c r="U24" s="327"/>
    </row>
    <row r="25" spans="2:21" ht="15.95" hidden="1" customHeight="1">
      <c r="B25" s="77" t="s">
        <v>28</v>
      </c>
      <c r="C25" s="206">
        <v>7</v>
      </c>
      <c r="D25" s="209"/>
      <c r="E25" s="306"/>
      <c r="F25" s="323"/>
      <c r="G25" s="53"/>
      <c r="H25" s="216">
        <f>(183*50)/100</f>
        <v>91.5</v>
      </c>
      <c r="I25" s="47"/>
      <c r="J25" s="306"/>
      <c r="K25" s="309"/>
      <c r="L25" s="63"/>
      <c r="M25" s="216">
        <f>(183*50)/100</f>
        <v>91.5</v>
      </c>
      <c r="N25" s="47"/>
      <c r="O25" s="306"/>
      <c r="P25" s="309"/>
      <c r="Q25" s="63"/>
      <c r="R25" s="66">
        <f t="shared" si="1"/>
        <v>24.625</v>
      </c>
      <c r="S25" s="67"/>
      <c r="T25" s="332"/>
      <c r="U25" s="327"/>
    </row>
    <row r="26" spans="2:21" ht="15.95" hidden="1" customHeight="1">
      <c r="B26" s="77" t="s">
        <v>29</v>
      </c>
      <c r="C26" s="206">
        <v>100</v>
      </c>
      <c r="D26" s="211"/>
      <c r="E26" s="306"/>
      <c r="F26" s="323"/>
      <c r="G26" s="53"/>
      <c r="H26" s="216">
        <f>(67*50)/100</f>
        <v>33.5</v>
      </c>
      <c r="I26" s="214"/>
      <c r="J26" s="306"/>
      <c r="K26" s="309"/>
      <c r="L26" s="63"/>
      <c r="M26" s="216">
        <f>(67*50)/100</f>
        <v>33.5</v>
      </c>
      <c r="N26" s="214"/>
      <c r="O26" s="306"/>
      <c r="P26" s="309"/>
      <c r="Q26" s="63"/>
      <c r="R26" s="66">
        <f t="shared" si="1"/>
        <v>33.375</v>
      </c>
      <c r="S26" s="67"/>
      <c r="T26" s="332"/>
      <c r="U26" s="327"/>
    </row>
    <row r="27" spans="2:21" ht="15.95" hidden="1" customHeight="1">
      <c r="B27" s="77" t="s">
        <v>30</v>
      </c>
      <c r="C27" s="206">
        <v>67</v>
      </c>
      <c r="D27" s="207"/>
      <c r="E27" s="306"/>
      <c r="F27" s="323"/>
      <c r="G27" s="53"/>
      <c r="H27" s="216">
        <f>(65*50)/100</f>
        <v>32.5</v>
      </c>
      <c r="I27" s="214"/>
      <c r="J27" s="306"/>
      <c r="K27" s="309"/>
      <c r="L27" s="63"/>
      <c r="M27" s="216">
        <f>(65*50)/100</f>
        <v>32.5</v>
      </c>
      <c r="N27" s="214"/>
      <c r="O27" s="306"/>
      <c r="P27" s="309"/>
      <c r="Q27" s="63"/>
      <c r="R27" s="66">
        <f t="shared" si="1"/>
        <v>24.875</v>
      </c>
      <c r="S27" s="67"/>
      <c r="T27" s="332"/>
      <c r="U27" s="327"/>
    </row>
    <row r="28" spans="2:21" ht="15.95" hidden="1" customHeight="1">
      <c r="B28" s="77" t="s">
        <v>31</v>
      </c>
      <c r="C28" s="206">
        <v>86</v>
      </c>
      <c r="D28" s="207"/>
      <c r="E28" s="306"/>
      <c r="F28" s="323"/>
      <c r="G28" s="53"/>
      <c r="H28" s="216">
        <v>50</v>
      </c>
      <c r="I28" s="47"/>
      <c r="J28" s="306"/>
      <c r="K28" s="310"/>
      <c r="L28" s="63"/>
      <c r="M28" s="216">
        <v>50</v>
      </c>
      <c r="N28" s="47"/>
      <c r="O28" s="306"/>
      <c r="P28" s="310"/>
      <c r="Q28" s="63"/>
      <c r="R28" s="66">
        <f t="shared" si="1"/>
        <v>34</v>
      </c>
      <c r="S28" s="67"/>
      <c r="T28" s="333"/>
      <c r="U28" s="327"/>
    </row>
    <row r="29" spans="2:21" ht="15.95" hidden="1" customHeight="1">
      <c r="B29" s="77" t="s">
        <v>33</v>
      </c>
      <c r="C29" s="206">
        <v>14</v>
      </c>
      <c r="D29" s="209"/>
      <c r="E29" s="306">
        <f>SUM(C29:C34)/6</f>
        <v>21.333333333333332</v>
      </c>
      <c r="F29" s="324"/>
      <c r="G29" s="53"/>
      <c r="H29" s="216">
        <f>(36*50)/100</f>
        <v>18</v>
      </c>
      <c r="I29" s="48"/>
      <c r="J29" s="306">
        <f>SUM(H29:H34)/6</f>
        <v>36.083333333333336</v>
      </c>
      <c r="K29" s="308"/>
      <c r="L29" s="63"/>
      <c r="M29" s="216">
        <f>(36*50)/100</f>
        <v>18</v>
      </c>
      <c r="N29" s="48"/>
      <c r="O29" s="306">
        <f>SUM(M29:M34)/6</f>
        <v>36.083333333333336</v>
      </c>
      <c r="P29" s="308"/>
      <c r="Q29" s="63"/>
      <c r="R29" s="66">
        <f t="shared" si="1"/>
        <v>8</v>
      </c>
      <c r="S29" s="68"/>
      <c r="T29" s="322">
        <f>SUM(R29:R34)/6</f>
        <v>14.354166666666666</v>
      </c>
      <c r="U29" s="421"/>
    </row>
    <row r="30" spans="2:21" ht="15.95" hidden="1" customHeight="1">
      <c r="B30" s="76" t="s">
        <v>34</v>
      </c>
      <c r="C30" s="206">
        <v>54</v>
      </c>
      <c r="D30" s="207"/>
      <c r="E30" s="306"/>
      <c r="F30" s="324"/>
      <c r="G30" s="53"/>
      <c r="H30" s="216">
        <f>(98*50)/100</f>
        <v>49</v>
      </c>
      <c r="I30" s="214"/>
      <c r="J30" s="306"/>
      <c r="K30" s="309"/>
      <c r="L30" s="63"/>
      <c r="M30" s="216">
        <f>(98*50)/100</f>
        <v>49</v>
      </c>
      <c r="N30" s="214"/>
      <c r="O30" s="306"/>
      <c r="P30" s="309"/>
      <c r="Q30" s="63"/>
      <c r="R30" s="66">
        <f t="shared" si="1"/>
        <v>25.75</v>
      </c>
      <c r="S30" s="67"/>
      <c r="T30" s="322"/>
      <c r="U30" s="421"/>
    </row>
    <row r="31" spans="2:21" ht="15.95" hidden="1" customHeight="1">
      <c r="B31" s="79" t="s">
        <v>35</v>
      </c>
      <c r="C31" s="206">
        <v>8</v>
      </c>
      <c r="D31" s="209"/>
      <c r="E31" s="306"/>
      <c r="F31" s="324"/>
      <c r="G31" s="53"/>
      <c r="H31" s="216">
        <v>50</v>
      </c>
      <c r="I31" s="47"/>
      <c r="J31" s="306"/>
      <c r="K31" s="309"/>
      <c r="L31" s="63"/>
      <c r="M31" s="216">
        <v>50</v>
      </c>
      <c r="N31" s="47"/>
      <c r="O31" s="306"/>
      <c r="P31" s="309"/>
      <c r="Q31" s="63"/>
      <c r="R31" s="66">
        <f t="shared" si="1"/>
        <v>14.5</v>
      </c>
      <c r="S31" s="68"/>
      <c r="T31" s="322"/>
      <c r="U31" s="421"/>
    </row>
    <row r="32" spans="2:21" ht="27.75" hidden="1" customHeight="1">
      <c r="B32" s="78" t="s">
        <v>36</v>
      </c>
      <c r="C32" s="206">
        <v>25</v>
      </c>
      <c r="D32" s="209"/>
      <c r="E32" s="306"/>
      <c r="F32" s="324"/>
      <c r="G32" s="53"/>
      <c r="H32" s="216">
        <f>(99*50)/100</f>
        <v>49.5</v>
      </c>
      <c r="I32" s="214"/>
      <c r="J32" s="306"/>
      <c r="K32" s="309"/>
      <c r="L32" s="63"/>
      <c r="M32" s="216">
        <f>(99*50)/100</f>
        <v>49.5</v>
      </c>
      <c r="N32" s="214"/>
      <c r="O32" s="306"/>
      <c r="P32" s="309"/>
      <c r="Q32" s="63"/>
      <c r="R32" s="66">
        <f t="shared" si="1"/>
        <v>18.625</v>
      </c>
      <c r="S32" s="68"/>
      <c r="T32" s="322"/>
      <c r="U32" s="421"/>
    </row>
    <row r="33" spans="1:21" ht="27" hidden="1" customHeight="1">
      <c r="B33" s="76" t="s">
        <v>37</v>
      </c>
      <c r="C33" s="206">
        <v>10</v>
      </c>
      <c r="D33" s="209"/>
      <c r="E33" s="306"/>
      <c r="F33" s="324"/>
      <c r="G33" s="53"/>
      <c r="H33" s="216">
        <f>(50*50)/100</f>
        <v>25</v>
      </c>
      <c r="I33" s="48"/>
      <c r="J33" s="306"/>
      <c r="K33" s="309"/>
      <c r="L33" s="63"/>
      <c r="M33" s="216">
        <f>(50*50)/100</f>
        <v>25</v>
      </c>
      <c r="N33" s="48"/>
      <c r="O33" s="306"/>
      <c r="P33" s="309"/>
      <c r="Q33" s="63"/>
      <c r="R33" s="66">
        <f t="shared" si="1"/>
        <v>8.75</v>
      </c>
      <c r="S33" s="68"/>
      <c r="T33" s="322"/>
      <c r="U33" s="421"/>
    </row>
    <row r="34" spans="1:21" ht="15.95" hidden="1" customHeight="1">
      <c r="B34" s="77" t="s">
        <v>38</v>
      </c>
      <c r="C34" s="206">
        <v>17</v>
      </c>
      <c r="D34" s="209"/>
      <c r="E34" s="306"/>
      <c r="F34" s="324"/>
      <c r="G34" s="53"/>
      <c r="H34" s="216">
        <f>(50*50)/100</f>
        <v>25</v>
      </c>
      <c r="I34" s="48"/>
      <c r="J34" s="306"/>
      <c r="K34" s="310"/>
      <c r="L34" s="63"/>
      <c r="M34" s="216">
        <f>(50*50)/100</f>
        <v>25</v>
      </c>
      <c r="N34" s="48"/>
      <c r="O34" s="306"/>
      <c r="P34" s="310"/>
      <c r="Q34" s="63"/>
      <c r="R34" s="66">
        <f t="shared" si="1"/>
        <v>10.5</v>
      </c>
      <c r="S34" s="68"/>
      <c r="T34" s="322"/>
      <c r="U34" s="421"/>
    </row>
    <row r="35" spans="1:21" ht="27.75" hidden="1" customHeight="1">
      <c r="B35" s="79" t="s">
        <v>40</v>
      </c>
      <c r="C35" s="206">
        <v>58</v>
      </c>
      <c r="D35" s="207"/>
      <c r="E35" s="320">
        <f>SUM(C35:C44)/10</f>
        <v>49.3</v>
      </c>
      <c r="F35" s="324"/>
      <c r="G35" s="53"/>
      <c r="H35" s="216">
        <f>(85*50)/100</f>
        <v>42.5</v>
      </c>
      <c r="I35" s="214"/>
      <c r="J35" s="320">
        <f>SUM(H35:H44)/10</f>
        <v>35.35</v>
      </c>
      <c r="K35" s="308"/>
      <c r="L35" s="63"/>
      <c r="M35" s="216">
        <f>(85*50)/100</f>
        <v>42.5</v>
      </c>
      <c r="N35" s="214"/>
      <c r="O35" s="320">
        <f>SUM(M35:M44)/10</f>
        <v>35.35</v>
      </c>
      <c r="P35" s="308"/>
      <c r="Q35" s="63"/>
      <c r="R35" s="66">
        <f t="shared" si="1"/>
        <v>25.125</v>
      </c>
      <c r="S35" s="67"/>
      <c r="T35" s="322">
        <f>SUM(R35:R44)/10</f>
        <v>21.162500000000001</v>
      </c>
      <c r="U35" s="323"/>
    </row>
    <row r="36" spans="1:21" ht="15.95" hidden="1" customHeight="1">
      <c r="B36" s="79" t="s">
        <v>41</v>
      </c>
      <c r="C36" s="206">
        <v>100</v>
      </c>
      <c r="D36" s="211"/>
      <c r="E36" s="320"/>
      <c r="F36" s="324"/>
      <c r="G36" s="53"/>
      <c r="H36" s="216">
        <f>(75*50)/100</f>
        <v>37.5</v>
      </c>
      <c r="I36" s="214"/>
      <c r="J36" s="320"/>
      <c r="K36" s="309"/>
      <c r="L36" s="63"/>
      <c r="M36" s="216">
        <f>(75*50)/100</f>
        <v>37.5</v>
      </c>
      <c r="N36" s="214"/>
      <c r="O36" s="320"/>
      <c r="P36" s="309"/>
      <c r="Q36" s="63"/>
      <c r="R36" s="66">
        <f t="shared" si="1"/>
        <v>34.375</v>
      </c>
      <c r="S36" s="67"/>
      <c r="T36" s="322"/>
      <c r="U36" s="323"/>
    </row>
    <row r="37" spans="1:21" ht="26.25" hidden="1" customHeight="1">
      <c r="B37" s="79" t="s">
        <v>42</v>
      </c>
      <c r="C37" s="206">
        <v>33</v>
      </c>
      <c r="D37" s="209"/>
      <c r="E37" s="320"/>
      <c r="F37" s="324"/>
      <c r="G37" s="53"/>
      <c r="H37" s="216">
        <f>(117*50)/100</f>
        <v>58.5</v>
      </c>
      <c r="I37" s="47"/>
      <c r="J37" s="320"/>
      <c r="K37" s="309"/>
      <c r="L37" s="63"/>
      <c r="M37" s="216">
        <f>(117*50)/100</f>
        <v>58.5</v>
      </c>
      <c r="N37" s="47"/>
      <c r="O37" s="320"/>
      <c r="P37" s="309"/>
      <c r="Q37" s="63"/>
      <c r="R37" s="66">
        <f t="shared" si="1"/>
        <v>22.875</v>
      </c>
      <c r="S37" s="67"/>
      <c r="T37" s="322"/>
      <c r="U37" s="323"/>
    </row>
    <row r="38" spans="1:21" ht="15.95" hidden="1" customHeight="1">
      <c r="B38" s="79" t="s">
        <v>43</v>
      </c>
      <c r="C38" s="206">
        <v>0</v>
      </c>
      <c r="D38" s="209"/>
      <c r="E38" s="320"/>
      <c r="F38" s="324"/>
      <c r="G38" s="53"/>
      <c r="H38" s="216">
        <v>0</v>
      </c>
      <c r="I38" s="48"/>
      <c r="J38" s="320"/>
      <c r="K38" s="309"/>
      <c r="L38" s="63"/>
      <c r="M38" s="216">
        <v>0</v>
      </c>
      <c r="N38" s="48"/>
      <c r="O38" s="320"/>
      <c r="P38" s="309"/>
      <c r="Q38" s="63"/>
      <c r="R38" s="66">
        <f t="shared" si="1"/>
        <v>0</v>
      </c>
      <c r="S38" s="68"/>
      <c r="T38" s="322"/>
      <c r="U38" s="323"/>
    </row>
    <row r="39" spans="1:21" ht="27" hidden="1" customHeight="1">
      <c r="B39" s="79" t="s">
        <v>44</v>
      </c>
      <c r="C39" s="206">
        <v>67</v>
      </c>
      <c r="D39" s="207"/>
      <c r="E39" s="320"/>
      <c r="F39" s="324"/>
      <c r="G39" s="53"/>
      <c r="H39" s="216">
        <f>(100*50)/100</f>
        <v>50</v>
      </c>
      <c r="I39" s="47"/>
      <c r="J39" s="320"/>
      <c r="K39" s="309"/>
      <c r="L39" s="63"/>
      <c r="M39" s="216">
        <f>(100*50)/100</f>
        <v>50</v>
      </c>
      <c r="N39" s="47"/>
      <c r="O39" s="320"/>
      <c r="P39" s="309"/>
      <c r="Q39" s="63"/>
      <c r="R39" s="66">
        <f t="shared" si="1"/>
        <v>29.25</v>
      </c>
      <c r="S39" s="67"/>
      <c r="T39" s="322"/>
      <c r="U39" s="323"/>
    </row>
    <row r="40" spans="1:21" ht="15.95" hidden="1" customHeight="1">
      <c r="B40" s="77" t="s">
        <v>45</v>
      </c>
      <c r="C40" s="206">
        <v>60</v>
      </c>
      <c r="D40" s="207"/>
      <c r="E40" s="320"/>
      <c r="F40" s="324"/>
      <c r="G40" s="53"/>
      <c r="H40" s="216">
        <f>(50*50)/100</f>
        <v>25</v>
      </c>
      <c r="I40" s="48"/>
      <c r="J40" s="320"/>
      <c r="K40" s="309"/>
      <c r="L40" s="63"/>
      <c r="M40" s="216">
        <f>(50*50)/100</f>
        <v>25</v>
      </c>
      <c r="N40" s="48"/>
      <c r="O40" s="320"/>
      <c r="P40" s="309"/>
      <c r="Q40" s="63"/>
      <c r="R40" s="66">
        <f t="shared" si="1"/>
        <v>21.25</v>
      </c>
      <c r="S40" s="67"/>
      <c r="T40" s="322"/>
      <c r="U40" s="323"/>
    </row>
    <row r="41" spans="1:21" ht="30" hidden="1" customHeight="1">
      <c r="B41" s="79" t="s">
        <v>46</v>
      </c>
      <c r="C41" s="206">
        <v>0</v>
      </c>
      <c r="D41" s="209"/>
      <c r="E41" s="320"/>
      <c r="F41" s="324"/>
      <c r="G41" s="53"/>
      <c r="H41" s="216">
        <f>(50*50)/100</f>
        <v>25</v>
      </c>
      <c r="I41" s="48"/>
      <c r="J41" s="320"/>
      <c r="K41" s="309"/>
      <c r="L41" s="63"/>
      <c r="M41" s="216">
        <f>(50*50)/100</f>
        <v>25</v>
      </c>
      <c r="N41" s="48"/>
      <c r="O41" s="320"/>
      <c r="P41" s="309"/>
      <c r="Q41" s="63"/>
      <c r="R41" s="66">
        <f t="shared" si="1"/>
        <v>6.25</v>
      </c>
      <c r="S41" s="68"/>
      <c r="T41" s="322"/>
      <c r="U41" s="323"/>
    </row>
    <row r="42" spans="1:21" ht="15.95" hidden="1" customHeight="1">
      <c r="B42" s="79" t="s">
        <v>47</v>
      </c>
      <c r="C42" s="206">
        <v>0</v>
      </c>
      <c r="D42" s="209"/>
      <c r="E42" s="320"/>
      <c r="F42" s="324"/>
      <c r="G42" s="53"/>
      <c r="H42" s="216">
        <v>0</v>
      </c>
      <c r="I42" s="48"/>
      <c r="J42" s="320"/>
      <c r="K42" s="309"/>
      <c r="L42" s="63"/>
      <c r="M42" s="216">
        <v>0</v>
      </c>
      <c r="N42" s="48"/>
      <c r="O42" s="320"/>
      <c r="P42" s="309"/>
      <c r="Q42" s="63"/>
      <c r="R42" s="66">
        <f t="shared" si="1"/>
        <v>0</v>
      </c>
      <c r="S42" s="68"/>
      <c r="T42" s="322"/>
      <c r="U42" s="323"/>
    </row>
    <row r="43" spans="1:21" ht="15.95" hidden="1" customHeight="1">
      <c r="B43" s="79" t="s">
        <v>48</v>
      </c>
      <c r="C43" s="206">
        <v>100</v>
      </c>
      <c r="D43" s="211"/>
      <c r="E43" s="320"/>
      <c r="F43" s="324"/>
      <c r="G43" s="53"/>
      <c r="H43" s="216">
        <f>(80*50)/100</f>
        <v>40</v>
      </c>
      <c r="I43" s="214"/>
      <c r="J43" s="320"/>
      <c r="K43" s="309"/>
      <c r="L43" s="63"/>
      <c r="M43" s="216">
        <f>(80*50)/100</f>
        <v>40</v>
      </c>
      <c r="N43" s="214"/>
      <c r="O43" s="320"/>
      <c r="P43" s="309"/>
      <c r="Q43" s="63"/>
      <c r="R43" s="66">
        <f t="shared" si="1"/>
        <v>35</v>
      </c>
      <c r="S43" s="67"/>
      <c r="T43" s="322"/>
      <c r="U43" s="323"/>
    </row>
    <row r="44" spans="1:21" ht="15.95" hidden="1" customHeight="1">
      <c r="B44" s="79" t="s">
        <v>49</v>
      </c>
      <c r="C44" s="206">
        <v>75</v>
      </c>
      <c r="D44" s="207"/>
      <c r="E44" s="320"/>
      <c r="F44" s="324"/>
      <c r="G44" s="53"/>
      <c r="H44" s="216">
        <f>(150*50)/100</f>
        <v>75</v>
      </c>
      <c r="I44" s="47"/>
      <c r="J44" s="320"/>
      <c r="K44" s="310"/>
      <c r="L44" s="63"/>
      <c r="M44" s="216">
        <f>(150*50)/100</f>
        <v>75</v>
      </c>
      <c r="N44" s="47"/>
      <c r="O44" s="320"/>
      <c r="P44" s="310"/>
      <c r="Q44" s="63"/>
      <c r="R44" s="66">
        <f t="shared" si="1"/>
        <v>37.5</v>
      </c>
      <c r="S44" s="65"/>
      <c r="T44" s="322"/>
      <c r="U44" s="323"/>
    </row>
    <row r="45" spans="1:21" ht="15" hidden="1" customHeight="1">
      <c r="B45" s="39"/>
      <c r="C45" s="359">
        <f>(E6+E7+E11+E13+E17+E29+E35)/7</f>
        <v>68.209523809523802</v>
      </c>
      <c r="D45" s="360"/>
      <c r="E45" s="361"/>
      <c r="F45" s="36"/>
      <c r="G45" s="53"/>
      <c r="H45" s="359">
        <f>(J6+J7+J11+J13+J17+J29+J35)/7</f>
        <v>42.288095238095245</v>
      </c>
      <c r="I45" s="360"/>
      <c r="J45" s="361"/>
      <c r="K45" s="214"/>
      <c r="L45" s="63"/>
      <c r="M45" s="359">
        <f>(O6+O7+O11+O13+O17+O29+O35)/7</f>
        <v>42.288095238095245</v>
      </c>
      <c r="N45" s="360"/>
      <c r="O45" s="361"/>
      <c r="P45" s="214"/>
      <c r="Q45" s="63"/>
      <c r="R45" s="359">
        <f>(T6+T7+T11+T13+T17+T29+T35)/7</f>
        <v>27.62440476190476</v>
      </c>
      <c r="S45" s="360"/>
      <c r="T45" s="361"/>
      <c r="U45" s="7"/>
    </row>
    <row r="46" spans="1:21" ht="17.25" customHeight="1">
      <c r="A46" s="422" t="s">
        <v>71</v>
      </c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</row>
    <row r="47" spans="1:21" ht="17.25" customHeight="1">
      <c r="A47" s="422" t="s">
        <v>79</v>
      </c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</row>
    <row r="48" spans="1:21">
      <c r="B48" s="80"/>
      <c r="C48" s="81"/>
      <c r="D48" s="81"/>
      <c r="E48" s="81"/>
      <c r="F48" s="82"/>
      <c r="G48" s="53"/>
      <c r="H48" s="81"/>
      <c r="I48" s="81"/>
      <c r="J48" s="81"/>
      <c r="K48" s="63"/>
      <c r="L48" s="63"/>
      <c r="M48" s="81"/>
      <c r="N48" s="81"/>
      <c r="O48" s="81"/>
      <c r="P48" s="63"/>
      <c r="Q48" s="63"/>
      <c r="R48" s="81"/>
      <c r="S48" s="81"/>
      <c r="T48" s="81"/>
      <c r="U48" s="83"/>
    </row>
    <row r="49" spans="1:21" ht="18" customHeight="1">
      <c r="A49" s="342" t="s">
        <v>65</v>
      </c>
      <c r="B49" s="342" t="s">
        <v>64</v>
      </c>
      <c r="C49" s="325">
        <v>2016</v>
      </c>
      <c r="D49" s="325"/>
      <c r="E49" s="325"/>
      <c r="F49" s="325"/>
      <c r="G49" s="52"/>
      <c r="H49" s="325">
        <v>2017</v>
      </c>
      <c r="I49" s="325"/>
      <c r="J49" s="325"/>
      <c r="K49" s="325"/>
      <c r="L49" s="62"/>
      <c r="M49" s="325">
        <v>2018</v>
      </c>
      <c r="N49" s="325"/>
      <c r="O49" s="325"/>
      <c r="P49" s="325"/>
      <c r="Q49" s="62"/>
      <c r="R49" s="326" t="s">
        <v>61</v>
      </c>
      <c r="S49" s="326"/>
      <c r="T49" s="326"/>
      <c r="U49" s="326"/>
    </row>
    <row r="50" spans="1:21" s="17" customFormat="1" ht="43.5" customHeight="1">
      <c r="A50" s="342"/>
      <c r="B50" s="342"/>
      <c r="C50" s="210" t="s">
        <v>58</v>
      </c>
      <c r="D50" s="210"/>
      <c r="E50" s="210" t="s">
        <v>58</v>
      </c>
      <c r="F50" s="210"/>
      <c r="G50" s="53"/>
      <c r="H50" s="210" t="s">
        <v>58</v>
      </c>
      <c r="I50" s="210"/>
      <c r="J50" s="210" t="s">
        <v>58</v>
      </c>
      <c r="K50" s="210"/>
      <c r="L50" s="54"/>
      <c r="M50" s="210" t="s">
        <v>58</v>
      </c>
      <c r="N50" s="210"/>
      <c r="O50" s="210" t="s">
        <v>58</v>
      </c>
      <c r="P50" s="210"/>
      <c r="Q50" s="54"/>
      <c r="R50" s="70" t="s">
        <v>62</v>
      </c>
      <c r="S50" s="53"/>
      <c r="T50" s="71" t="s">
        <v>60</v>
      </c>
      <c r="U50" s="72"/>
    </row>
    <row r="52" spans="1:21" ht="15.95" customHeight="1">
      <c r="A52" s="428" t="s">
        <v>66</v>
      </c>
      <c r="B52" s="74" t="s">
        <v>4</v>
      </c>
      <c r="C52" s="206">
        <v>86</v>
      </c>
      <c r="D52" s="207"/>
      <c r="E52" s="429">
        <f>SUM(C52:C57)/6</f>
        <v>78.833333333333329</v>
      </c>
      <c r="F52" s="423"/>
      <c r="G52" s="53"/>
      <c r="H52" s="216">
        <v>111</v>
      </c>
      <c r="I52" s="47"/>
      <c r="J52" s="429">
        <f>SUM(H52:H57)/6</f>
        <v>95.166666666666671</v>
      </c>
      <c r="K52" s="423"/>
      <c r="L52" s="63"/>
      <c r="M52" s="216">
        <v>143</v>
      </c>
      <c r="N52" s="47"/>
      <c r="O52" s="429">
        <f>SUM(M52:M57)/6</f>
        <v>95.333333333333329</v>
      </c>
      <c r="P52" s="423"/>
      <c r="Q52" s="213"/>
      <c r="R52" s="66">
        <f>((C52+H52+M52)*75/300)</f>
        <v>85</v>
      </c>
      <c r="S52" s="65"/>
      <c r="T52" s="424">
        <f>SUM(R52:R57)/6</f>
        <v>67.333333333333329</v>
      </c>
      <c r="U52" s="292"/>
    </row>
    <row r="53" spans="1:21" ht="27" customHeight="1">
      <c r="A53" s="428"/>
      <c r="B53" s="74" t="s">
        <v>16</v>
      </c>
      <c r="C53" s="206">
        <v>71</v>
      </c>
      <c r="D53" s="207"/>
      <c r="E53" s="429"/>
      <c r="F53" s="423"/>
      <c r="G53" s="53"/>
      <c r="H53" s="216">
        <v>104</v>
      </c>
      <c r="I53" s="47"/>
      <c r="J53" s="429"/>
      <c r="K53" s="423"/>
      <c r="L53" s="63"/>
      <c r="M53" s="216">
        <v>85</v>
      </c>
      <c r="N53" s="214"/>
      <c r="O53" s="429"/>
      <c r="P53" s="423"/>
      <c r="Q53" s="213"/>
      <c r="R53" s="66">
        <f t="shared" ref="R53:R92" si="2">((C53+H53+M53)*75/300)</f>
        <v>65</v>
      </c>
      <c r="S53" s="67"/>
      <c r="T53" s="424"/>
      <c r="U53" s="292"/>
    </row>
    <row r="54" spans="1:21" ht="15.95" customHeight="1">
      <c r="A54" s="428"/>
      <c r="B54" s="74" t="s">
        <v>17</v>
      </c>
      <c r="C54" s="206">
        <v>50</v>
      </c>
      <c r="D54" s="207"/>
      <c r="E54" s="429"/>
      <c r="F54" s="423"/>
      <c r="G54" s="53"/>
      <c r="H54" s="216">
        <v>89</v>
      </c>
      <c r="I54" s="214"/>
      <c r="J54" s="429"/>
      <c r="K54" s="423"/>
      <c r="L54" s="63"/>
      <c r="M54" s="216">
        <v>94.5</v>
      </c>
      <c r="N54" s="214"/>
      <c r="O54" s="429"/>
      <c r="P54" s="423"/>
      <c r="Q54" s="213"/>
      <c r="R54" s="66">
        <f t="shared" si="2"/>
        <v>58.375</v>
      </c>
      <c r="S54" s="67"/>
      <c r="T54" s="424"/>
      <c r="U54" s="292"/>
    </row>
    <row r="55" spans="1:21" ht="15.95" customHeight="1">
      <c r="A55" s="428"/>
      <c r="B55" s="74" t="s">
        <v>21</v>
      </c>
      <c r="C55" s="206">
        <v>77</v>
      </c>
      <c r="D55" s="207"/>
      <c r="E55" s="429"/>
      <c r="F55" s="423"/>
      <c r="G55" s="53"/>
      <c r="H55" s="216">
        <v>76</v>
      </c>
      <c r="I55" s="214"/>
      <c r="J55" s="429"/>
      <c r="K55" s="423"/>
      <c r="L55" s="63"/>
      <c r="M55" s="216">
        <v>75.5</v>
      </c>
      <c r="N55" s="214"/>
      <c r="O55" s="429"/>
      <c r="P55" s="423"/>
      <c r="Q55" s="63"/>
      <c r="R55" s="66">
        <f t="shared" si="2"/>
        <v>57.125</v>
      </c>
      <c r="S55" s="67"/>
      <c r="T55" s="424"/>
      <c r="U55" s="292"/>
    </row>
    <row r="56" spans="1:21" ht="15.95" customHeight="1">
      <c r="A56" s="428"/>
      <c r="B56" s="74" t="s">
        <v>24</v>
      </c>
      <c r="C56" s="206">
        <v>89</v>
      </c>
      <c r="D56" s="207"/>
      <c r="E56" s="429"/>
      <c r="F56" s="423"/>
      <c r="G56" s="53"/>
      <c r="H56" s="216">
        <v>94</v>
      </c>
      <c r="I56" s="214"/>
      <c r="J56" s="429"/>
      <c r="K56" s="423"/>
      <c r="L56" s="63"/>
      <c r="M56" s="216">
        <v>86</v>
      </c>
      <c r="N56" s="214"/>
      <c r="O56" s="429"/>
      <c r="P56" s="423"/>
      <c r="Q56" s="63"/>
      <c r="R56" s="66">
        <f t="shared" si="2"/>
        <v>67.25</v>
      </c>
      <c r="S56" s="67"/>
      <c r="T56" s="424"/>
      <c r="U56" s="292"/>
    </row>
    <row r="57" spans="1:21" ht="15.95" customHeight="1">
      <c r="A57" s="428"/>
      <c r="B57" s="74" t="s">
        <v>25</v>
      </c>
      <c r="C57" s="206">
        <v>100</v>
      </c>
      <c r="D57" s="211"/>
      <c r="E57" s="429"/>
      <c r="F57" s="423"/>
      <c r="G57" s="53"/>
      <c r="H57" s="216">
        <v>97</v>
      </c>
      <c r="I57" s="214"/>
      <c r="J57" s="429"/>
      <c r="K57" s="423"/>
      <c r="L57" s="63"/>
      <c r="M57" s="216">
        <v>88</v>
      </c>
      <c r="N57" s="214"/>
      <c r="O57" s="429"/>
      <c r="P57" s="423"/>
      <c r="Q57" s="63"/>
      <c r="R57" s="66">
        <f t="shared" si="2"/>
        <v>71.25</v>
      </c>
      <c r="S57" s="67"/>
      <c r="T57" s="424"/>
      <c r="U57" s="292"/>
    </row>
    <row r="58" spans="1:21" ht="13.5" customHeight="1">
      <c r="A58" s="365"/>
      <c r="B58" s="366"/>
      <c r="C58" s="366"/>
      <c r="D58" s="366"/>
      <c r="E58" s="366"/>
      <c r="F58" s="366"/>
      <c r="G58" s="53"/>
      <c r="H58" s="425"/>
      <c r="I58" s="426"/>
      <c r="J58" s="426"/>
      <c r="K58" s="426"/>
      <c r="L58" s="63"/>
      <c r="M58" s="425"/>
      <c r="N58" s="426"/>
      <c r="O58" s="426"/>
      <c r="P58" s="426"/>
      <c r="Q58" s="63"/>
      <c r="R58" s="427"/>
      <c r="S58" s="357"/>
      <c r="T58" s="357"/>
      <c r="U58" s="357"/>
    </row>
    <row r="59" spans="1:21" ht="15.95" customHeight="1">
      <c r="A59" s="436" t="s">
        <v>67</v>
      </c>
      <c r="B59" s="77" t="s">
        <v>5</v>
      </c>
      <c r="C59" s="206">
        <v>72</v>
      </c>
      <c r="D59" s="207"/>
      <c r="E59" s="429">
        <f>SUM(C59:C71)/13</f>
        <v>59.153846153846153</v>
      </c>
      <c r="F59" s="423"/>
      <c r="G59" s="53"/>
      <c r="H59" s="216">
        <v>100</v>
      </c>
      <c r="I59" s="47"/>
      <c r="J59" s="429">
        <f>SUM(H59:H71)/13</f>
        <v>74.538461538461533</v>
      </c>
      <c r="K59" s="423"/>
      <c r="L59" s="63"/>
      <c r="M59" s="216">
        <v>72.5</v>
      </c>
      <c r="N59" s="214"/>
      <c r="O59" s="429">
        <f>SUM(M59:M71)/13</f>
        <v>74.57692307692308</v>
      </c>
      <c r="P59" s="423"/>
      <c r="Q59" s="213"/>
      <c r="R59" s="66">
        <f t="shared" si="2"/>
        <v>61.125</v>
      </c>
      <c r="S59" s="67"/>
      <c r="T59" s="424">
        <f>SUM(R59:R71)/13</f>
        <v>52.067307692307693</v>
      </c>
      <c r="U59" s="292"/>
    </row>
    <row r="60" spans="1:21" ht="15.95" customHeight="1">
      <c r="A60" s="436"/>
      <c r="B60" s="77" t="s">
        <v>6</v>
      </c>
      <c r="C60" s="206">
        <v>59</v>
      </c>
      <c r="D60" s="207"/>
      <c r="E60" s="429"/>
      <c r="F60" s="423"/>
      <c r="G60" s="53"/>
      <c r="H60" s="216">
        <v>77</v>
      </c>
      <c r="I60" s="214"/>
      <c r="J60" s="429"/>
      <c r="K60" s="423"/>
      <c r="L60" s="63"/>
      <c r="M60" s="216">
        <v>100</v>
      </c>
      <c r="N60" s="47"/>
      <c r="O60" s="429"/>
      <c r="P60" s="423"/>
      <c r="Q60" s="213"/>
      <c r="R60" s="66">
        <f t="shared" si="2"/>
        <v>59</v>
      </c>
      <c r="S60" s="67"/>
      <c r="T60" s="424"/>
      <c r="U60" s="292"/>
    </row>
    <row r="61" spans="1:21" ht="27.75" customHeight="1">
      <c r="A61" s="436"/>
      <c r="B61" s="77" t="s">
        <v>7</v>
      </c>
      <c r="C61" s="206">
        <v>67</v>
      </c>
      <c r="D61" s="207"/>
      <c r="E61" s="429"/>
      <c r="F61" s="423"/>
      <c r="G61" s="53"/>
      <c r="H61" s="216">
        <v>58</v>
      </c>
      <c r="I61" s="214"/>
      <c r="J61" s="429"/>
      <c r="K61" s="423"/>
      <c r="L61" s="63"/>
      <c r="M61" s="216">
        <v>88</v>
      </c>
      <c r="N61" s="214"/>
      <c r="O61" s="429"/>
      <c r="P61" s="423"/>
      <c r="Q61" s="213"/>
      <c r="R61" s="66">
        <f t="shared" si="2"/>
        <v>53.25</v>
      </c>
      <c r="S61" s="67"/>
      <c r="T61" s="424"/>
      <c r="U61" s="292"/>
    </row>
    <row r="62" spans="1:21" ht="15.95" customHeight="1">
      <c r="A62" s="436"/>
      <c r="B62" s="77" t="s">
        <v>13</v>
      </c>
      <c r="C62" s="206">
        <v>100</v>
      </c>
      <c r="D62" s="211"/>
      <c r="E62" s="429"/>
      <c r="F62" s="423"/>
      <c r="G62" s="53"/>
      <c r="H62" s="216">
        <v>100</v>
      </c>
      <c r="I62" s="47"/>
      <c r="J62" s="429"/>
      <c r="K62" s="423"/>
      <c r="L62" s="63"/>
      <c r="M62" s="216">
        <v>80</v>
      </c>
      <c r="N62" s="214"/>
      <c r="O62" s="429"/>
      <c r="P62" s="423"/>
      <c r="Q62" s="213"/>
      <c r="R62" s="66">
        <f t="shared" si="2"/>
        <v>70</v>
      </c>
      <c r="S62" s="205"/>
      <c r="T62" s="424"/>
      <c r="U62" s="292"/>
    </row>
    <row r="63" spans="1:21" ht="27" customHeight="1">
      <c r="A63" s="436"/>
      <c r="B63" s="77" t="s">
        <v>15</v>
      </c>
      <c r="C63" s="206">
        <v>54</v>
      </c>
      <c r="D63" s="207"/>
      <c r="E63" s="429"/>
      <c r="F63" s="423"/>
      <c r="G63" s="53"/>
      <c r="H63" s="216">
        <v>83</v>
      </c>
      <c r="I63" s="214"/>
      <c r="J63" s="429"/>
      <c r="K63" s="423"/>
      <c r="L63" s="63"/>
      <c r="M63" s="216">
        <v>132</v>
      </c>
      <c r="N63" s="47"/>
      <c r="O63" s="429"/>
      <c r="P63" s="423"/>
      <c r="Q63" s="213"/>
      <c r="R63" s="66">
        <f t="shared" si="2"/>
        <v>67.25</v>
      </c>
      <c r="S63" s="67"/>
      <c r="T63" s="424"/>
      <c r="U63" s="292"/>
    </row>
    <row r="64" spans="1:21" ht="15.95" customHeight="1">
      <c r="A64" s="436"/>
      <c r="B64" s="77" t="s">
        <v>18</v>
      </c>
      <c r="C64" s="206">
        <v>66</v>
      </c>
      <c r="D64" s="207"/>
      <c r="E64" s="429"/>
      <c r="F64" s="423"/>
      <c r="G64" s="53"/>
      <c r="H64" s="216">
        <v>60</v>
      </c>
      <c r="I64" s="214"/>
      <c r="J64" s="429"/>
      <c r="K64" s="423"/>
      <c r="L64" s="63"/>
      <c r="M64" s="216">
        <v>85</v>
      </c>
      <c r="N64" s="214"/>
      <c r="O64" s="429"/>
      <c r="P64" s="423"/>
      <c r="Q64" s="213"/>
      <c r="R64" s="66">
        <f>((C64+H64+M64)*75/300)</f>
        <v>52.75</v>
      </c>
      <c r="S64" s="147"/>
      <c r="T64" s="424"/>
      <c r="U64" s="292"/>
    </row>
    <row r="65" spans="1:21" ht="15.95" customHeight="1">
      <c r="A65" s="436"/>
      <c r="B65" s="77" t="s">
        <v>28</v>
      </c>
      <c r="C65" s="206">
        <v>7</v>
      </c>
      <c r="D65" s="209"/>
      <c r="E65" s="429"/>
      <c r="F65" s="423"/>
      <c r="G65" s="53"/>
      <c r="H65" s="216">
        <v>101</v>
      </c>
      <c r="I65" s="47"/>
      <c r="J65" s="429"/>
      <c r="K65" s="423"/>
      <c r="L65" s="63"/>
      <c r="M65" s="216">
        <v>13</v>
      </c>
      <c r="N65" s="48"/>
      <c r="O65" s="429"/>
      <c r="P65" s="423"/>
      <c r="Q65" s="63"/>
      <c r="R65" s="66">
        <f t="shared" si="2"/>
        <v>30.25</v>
      </c>
      <c r="S65" s="68"/>
      <c r="T65" s="424"/>
      <c r="U65" s="292"/>
    </row>
    <row r="66" spans="1:21" ht="15.95" customHeight="1">
      <c r="A66" s="436"/>
      <c r="B66" s="77" t="s">
        <v>29</v>
      </c>
      <c r="C66" s="206">
        <v>100</v>
      </c>
      <c r="D66" s="211"/>
      <c r="E66" s="429"/>
      <c r="F66" s="423"/>
      <c r="G66" s="53"/>
      <c r="H66" s="216">
        <v>71</v>
      </c>
      <c r="I66" s="214"/>
      <c r="J66" s="429"/>
      <c r="K66" s="423"/>
      <c r="L66" s="63"/>
      <c r="M66" s="216">
        <v>79</v>
      </c>
      <c r="N66" s="214"/>
      <c r="O66" s="429"/>
      <c r="P66" s="423"/>
      <c r="Q66" s="63"/>
      <c r="R66" s="66">
        <f t="shared" si="2"/>
        <v>62.5</v>
      </c>
      <c r="S66" s="67"/>
      <c r="T66" s="424"/>
      <c r="U66" s="292"/>
    </row>
    <row r="67" spans="1:21" ht="15.95" customHeight="1">
      <c r="A67" s="436"/>
      <c r="B67" s="77" t="s">
        <v>30</v>
      </c>
      <c r="C67" s="206">
        <v>67</v>
      </c>
      <c r="D67" s="207"/>
      <c r="E67" s="429"/>
      <c r="F67" s="423"/>
      <c r="G67" s="53"/>
      <c r="H67" s="216">
        <v>81</v>
      </c>
      <c r="I67" s="214"/>
      <c r="J67" s="429"/>
      <c r="K67" s="423"/>
      <c r="L67" s="63"/>
      <c r="M67" s="216">
        <v>88</v>
      </c>
      <c r="N67" s="214"/>
      <c r="O67" s="429"/>
      <c r="P67" s="423"/>
      <c r="Q67" s="63"/>
      <c r="R67" s="66">
        <f t="shared" si="2"/>
        <v>59</v>
      </c>
      <c r="S67" s="67"/>
      <c r="T67" s="424"/>
      <c r="U67" s="292"/>
    </row>
    <row r="68" spans="1:21" ht="15.95" customHeight="1">
      <c r="A68" s="436"/>
      <c r="B68" s="77" t="s">
        <v>31</v>
      </c>
      <c r="C68" s="206">
        <v>86</v>
      </c>
      <c r="D68" s="207"/>
      <c r="E68" s="429"/>
      <c r="F68" s="423"/>
      <c r="G68" s="53"/>
      <c r="H68" s="216">
        <v>92</v>
      </c>
      <c r="I68" s="214"/>
      <c r="J68" s="429"/>
      <c r="K68" s="423"/>
      <c r="L68" s="63"/>
      <c r="M68" s="216">
        <v>70</v>
      </c>
      <c r="N68" s="214"/>
      <c r="O68" s="429"/>
      <c r="P68" s="423"/>
      <c r="Q68" s="63"/>
      <c r="R68" s="66">
        <f t="shared" si="2"/>
        <v>62</v>
      </c>
      <c r="S68" s="67"/>
      <c r="T68" s="424"/>
      <c r="U68" s="292"/>
    </row>
    <row r="69" spans="1:21" ht="15.95" customHeight="1">
      <c r="A69" s="436"/>
      <c r="B69" s="77" t="s">
        <v>33</v>
      </c>
      <c r="C69" s="206">
        <v>14</v>
      </c>
      <c r="D69" s="209"/>
      <c r="E69" s="429"/>
      <c r="F69" s="423"/>
      <c r="G69" s="53"/>
      <c r="H69" s="216">
        <v>43</v>
      </c>
      <c r="I69" s="48"/>
      <c r="J69" s="429"/>
      <c r="K69" s="423"/>
      <c r="L69" s="63"/>
      <c r="M69" s="216">
        <v>56</v>
      </c>
      <c r="N69" s="214"/>
      <c r="O69" s="429"/>
      <c r="P69" s="423"/>
      <c r="Q69" s="63"/>
      <c r="R69" s="66">
        <f t="shared" si="2"/>
        <v>28.25</v>
      </c>
      <c r="S69" s="68"/>
      <c r="T69" s="424"/>
      <c r="U69" s="292"/>
    </row>
    <row r="70" spans="1:21" ht="15.95" customHeight="1">
      <c r="A70" s="436"/>
      <c r="B70" s="77" t="s">
        <v>38</v>
      </c>
      <c r="C70" s="206">
        <v>17</v>
      </c>
      <c r="D70" s="209"/>
      <c r="E70" s="429"/>
      <c r="F70" s="423"/>
      <c r="G70" s="53"/>
      <c r="H70" s="216">
        <v>50</v>
      </c>
      <c r="I70" s="48"/>
      <c r="J70" s="429"/>
      <c r="K70" s="423"/>
      <c r="L70" s="63"/>
      <c r="M70" s="216">
        <v>52</v>
      </c>
      <c r="N70" s="214"/>
      <c r="O70" s="429"/>
      <c r="P70" s="423"/>
      <c r="Q70" s="63"/>
      <c r="R70" s="66">
        <f t="shared" si="2"/>
        <v>29.75</v>
      </c>
      <c r="S70" s="68"/>
      <c r="T70" s="424"/>
      <c r="U70" s="292"/>
    </row>
    <row r="71" spans="1:21" ht="15.95" customHeight="1">
      <c r="A71" s="436"/>
      <c r="B71" s="77" t="s">
        <v>45</v>
      </c>
      <c r="C71" s="206">
        <v>60</v>
      </c>
      <c r="D71" s="207"/>
      <c r="E71" s="429"/>
      <c r="F71" s="423"/>
      <c r="G71" s="53"/>
      <c r="H71" s="216">
        <v>53</v>
      </c>
      <c r="I71" s="214"/>
      <c r="J71" s="429"/>
      <c r="K71" s="423"/>
      <c r="L71" s="63"/>
      <c r="M71" s="216">
        <v>54</v>
      </c>
      <c r="N71" s="214"/>
      <c r="O71" s="429"/>
      <c r="P71" s="423"/>
      <c r="Q71" s="63"/>
      <c r="R71" s="66">
        <f t="shared" si="2"/>
        <v>41.75</v>
      </c>
      <c r="S71" s="67"/>
      <c r="T71" s="424"/>
      <c r="U71" s="292"/>
    </row>
    <row r="72" spans="1:21" ht="12" customHeight="1">
      <c r="A72" s="430"/>
      <c r="B72" s="431"/>
      <c r="C72" s="431"/>
      <c r="D72" s="431"/>
      <c r="E72" s="431"/>
      <c r="F72" s="431"/>
      <c r="G72" s="53"/>
      <c r="H72" s="432"/>
      <c r="I72" s="433"/>
      <c r="J72" s="433"/>
      <c r="K72" s="433"/>
      <c r="L72" s="63"/>
      <c r="M72" s="432"/>
      <c r="N72" s="433"/>
      <c r="O72" s="433"/>
      <c r="P72" s="433"/>
      <c r="Q72" s="63"/>
      <c r="R72" s="434"/>
      <c r="S72" s="435"/>
      <c r="T72" s="435"/>
      <c r="U72" s="435"/>
    </row>
    <row r="73" spans="1:21" ht="15.95" customHeight="1">
      <c r="A73" s="440" t="s">
        <v>68</v>
      </c>
      <c r="B73" s="75" t="s">
        <v>50</v>
      </c>
      <c r="C73" s="206">
        <v>100</v>
      </c>
      <c r="D73" s="211"/>
      <c r="E73" s="320">
        <f>SUM(C73:C82)/9</f>
        <v>72.555555555555557</v>
      </c>
      <c r="F73" s="323"/>
      <c r="G73" s="53"/>
      <c r="H73" s="216">
        <v>100</v>
      </c>
      <c r="I73" s="47"/>
      <c r="J73" s="441">
        <f>SUM(H73:H82)/9</f>
        <v>104.11111111111111</v>
      </c>
      <c r="K73" s="423"/>
      <c r="L73" s="63"/>
      <c r="M73" s="216">
        <v>100</v>
      </c>
      <c r="N73" s="47"/>
      <c r="O73" s="441">
        <f>SUM(M73:M82)/9</f>
        <v>88.166666666666671</v>
      </c>
      <c r="P73" s="423"/>
      <c r="Q73" s="63"/>
      <c r="R73" s="66">
        <f t="shared" si="2"/>
        <v>75</v>
      </c>
      <c r="S73" s="65"/>
      <c r="T73" s="437">
        <f>SUM(R73:R82)/10</f>
        <v>59.587499999999999</v>
      </c>
      <c r="U73" s="292"/>
    </row>
    <row r="74" spans="1:21" ht="15.95" customHeight="1">
      <c r="A74" s="440"/>
      <c r="B74" s="76" t="s">
        <v>12</v>
      </c>
      <c r="C74" s="206">
        <v>100</v>
      </c>
      <c r="D74" s="211"/>
      <c r="E74" s="320"/>
      <c r="F74" s="323"/>
      <c r="G74" s="53"/>
      <c r="H74" s="216">
        <v>100</v>
      </c>
      <c r="I74" s="47"/>
      <c r="J74" s="441"/>
      <c r="K74" s="423"/>
      <c r="L74" s="63"/>
      <c r="M74" s="216">
        <v>100</v>
      </c>
      <c r="N74" s="47"/>
      <c r="O74" s="441"/>
      <c r="P74" s="423"/>
      <c r="Q74" s="213"/>
      <c r="R74" s="66">
        <f t="shared" si="2"/>
        <v>75</v>
      </c>
      <c r="S74" s="212"/>
      <c r="T74" s="437"/>
      <c r="U74" s="292"/>
    </row>
    <row r="75" spans="1:21" ht="15.95" customHeight="1">
      <c r="A75" s="440"/>
      <c r="B75" s="76" t="s">
        <v>20</v>
      </c>
      <c r="C75" s="206">
        <v>56</v>
      </c>
      <c r="D75" s="207"/>
      <c r="E75" s="320"/>
      <c r="F75" s="323"/>
      <c r="G75" s="53"/>
      <c r="H75" s="216">
        <v>114</v>
      </c>
      <c r="I75" s="47"/>
      <c r="J75" s="441"/>
      <c r="K75" s="423"/>
      <c r="L75" s="63"/>
      <c r="M75" s="216">
        <v>85</v>
      </c>
      <c r="N75" s="214"/>
      <c r="O75" s="441"/>
      <c r="P75" s="423"/>
      <c r="Q75" s="63"/>
      <c r="R75" s="66">
        <f t="shared" si="2"/>
        <v>63.75</v>
      </c>
      <c r="S75" s="67"/>
      <c r="T75" s="437"/>
      <c r="U75" s="292"/>
    </row>
    <row r="76" spans="1:21" ht="15.95" customHeight="1">
      <c r="A76" s="440"/>
      <c r="B76" s="76" t="s">
        <v>22</v>
      </c>
      <c r="C76" s="206">
        <v>100</v>
      </c>
      <c r="D76" s="211"/>
      <c r="E76" s="320"/>
      <c r="F76" s="323"/>
      <c r="G76" s="53"/>
      <c r="H76" s="216">
        <v>100</v>
      </c>
      <c r="I76" s="47"/>
      <c r="J76" s="441"/>
      <c r="K76" s="423"/>
      <c r="L76" s="63"/>
      <c r="M76" s="216">
        <v>100</v>
      </c>
      <c r="N76" s="47"/>
      <c r="O76" s="441"/>
      <c r="P76" s="423"/>
      <c r="Q76" s="63"/>
      <c r="R76" s="66">
        <f t="shared" si="2"/>
        <v>75</v>
      </c>
      <c r="S76" s="65"/>
      <c r="T76" s="437"/>
      <c r="U76" s="292"/>
    </row>
    <row r="77" spans="1:21" ht="15.95" customHeight="1">
      <c r="A77" s="440"/>
      <c r="B77" s="76" t="s">
        <v>23</v>
      </c>
      <c r="C77" s="206">
        <v>50</v>
      </c>
      <c r="D77" s="207"/>
      <c r="E77" s="320"/>
      <c r="F77" s="323"/>
      <c r="G77" s="53"/>
      <c r="H77" s="216">
        <v>100</v>
      </c>
      <c r="I77" s="47"/>
      <c r="J77" s="441"/>
      <c r="K77" s="423"/>
      <c r="L77" s="63"/>
      <c r="M77" s="216">
        <v>100</v>
      </c>
      <c r="N77" s="47"/>
      <c r="O77" s="441"/>
      <c r="P77" s="423"/>
      <c r="Q77" s="63"/>
      <c r="R77" s="66">
        <f t="shared" si="2"/>
        <v>62.5</v>
      </c>
      <c r="S77" s="67"/>
      <c r="T77" s="437"/>
      <c r="U77" s="292"/>
    </row>
    <row r="78" spans="1:21" ht="15.95" customHeight="1">
      <c r="A78" s="440"/>
      <c r="B78" s="76" t="s">
        <v>26</v>
      </c>
      <c r="C78" s="206">
        <v>97</v>
      </c>
      <c r="D78" s="207"/>
      <c r="E78" s="320"/>
      <c r="F78" s="323"/>
      <c r="G78" s="53"/>
      <c r="H78" s="216">
        <v>96</v>
      </c>
      <c r="I78" s="214"/>
      <c r="J78" s="441"/>
      <c r="K78" s="423"/>
      <c r="L78" s="63"/>
      <c r="M78" s="216">
        <v>78.5</v>
      </c>
      <c r="N78" s="214"/>
      <c r="O78" s="441"/>
      <c r="P78" s="423"/>
      <c r="Q78" s="63"/>
      <c r="R78" s="66">
        <f t="shared" si="2"/>
        <v>67.875</v>
      </c>
      <c r="S78" s="67"/>
      <c r="T78" s="437"/>
      <c r="U78" s="292"/>
    </row>
    <row r="79" spans="1:21" ht="24.75" customHeight="1">
      <c r="A79" s="440"/>
      <c r="B79" s="76" t="s">
        <v>27</v>
      </c>
      <c r="C79" s="206">
        <v>78</v>
      </c>
      <c r="D79" s="207"/>
      <c r="E79" s="320"/>
      <c r="F79" s="323"/>
      <c r="G79" s="53"/>
      <c r="H79" s="216">
        <v>98</v>
      </c>
      <c r="I79" s="214"/>
      <c r="J79" s="441"/>
      <c r="K79" s="423"/>
      <c r="L79" s="63"/>
      <c r="M79" s="216">
        <v>87</v>
      </c>
      <c r="N79" s="214"/>
      <c r="O79" s="441"/>
      <c r="P79" s="423"/>
      <c r="Q79" s="63"/>
      <c r="R79" s="66">
        <f t="shared" si="2"/>
        <v>65.75</v>
      </c>
      <c r="S79" s="67"/>
      <c r="T79" s="437"/>
      <c r="U79" s="292"/>
    </row>
    <row r="80" spans="1:21" ht="15.95" customHeight="1">
      <c r="A80" s="440"/>
      <c r="B80" s="76" t="s">
        <v>34</v>
      </c>
      <c r="C80" s="206">
        <v>54</v>
      </c>
      <c r="D80" s="207"/>
      <c r="E80" s="320"/>
      <c r="F80" s="323"/>
      <c r="G80" s="53"/>
      <c r="H80" s="216">
        <v>89</v>
      </c>
      <c r="I80" s="214"/>
      <c r="J80" s="441"/>
      <c r="K80" s="423"/>
      <c r="L80" s="63"/>
      <c r="M80" s="216">
        <v>52</v>
      </c>
      <c r="N80" s="214"/>
      <c r="O80" s="441"/>
      <c r="P80" s="423"/>
      <c r="Q80" s="63"/>
      <c r="R80" s="66">
        <f t="shared" si="2"/>
        <v>48.75</v>
      </c>
      <c r="S80" s="67"/>
      <c r="T80" s="437"/>
      <c r="U80" s="292"/>
    </row>
    <row r="81" spans="1:21" ht="15.95" customHeight="1">
      <c r="A81" s="440"/>
      <c r="B81" s="76" t="s">
        <v>35</v>
      </c>
      <c r="C81" s="206">
        <v>8</v>
      </c>
      <c r="D81" s="209"/>
      <c r="E81" s="320"/>
      <c r="F81" s="323"/>
      <c r="G81" s="53"/>
      <c r="H81" s="216">
        <v>75</v>
      </c>
      <c r="I81" s="214"/>
      <c r="J81" s="441"/>
      <c r="K81" s="423"/>
      <c r="L81" s="63"/>
      <c r="M81" s="216">
        <v>91</v>
      </c>
      <c r="N81" s="214"/>
      <c r="O81" s="441"/>
      <c r="P81" s="423"/>
      <c r="Q81" s="63"/>
      <c r="R81" s="66">
        <f t="shared" si="2"/>
        <v>43.5</v>
      </c>
      <c r="S81" s="67"/>
      <c r="T81" s="437"/>
      <c r="U81" s="292"/>
    </row>
    <row r="82" spans="1:21" ht="27" customHeight="1">
      <c r="A82" s="440"/>
      <c r="B82" s="76" t="s">
        <v>37</v>
      </c>
      <c r="C82" s="206">
        <v>10</v>
      </c>
      <c r="D82" s="209"/>
      <c r="E82" s="320"/>
      <c r="F82" s="323"/>
      <c r="G82" s="53"/>
      <c r="H82" s="216">
        <v>65</v>
      </c>
      <c r="I82" s="214"/>
      <c r="J82" s="441"/>
      <c r="K82" s="423"/>
      <c r="L82" s="63"/>
      <c r="M82" s="216">
        <v>0</v>
      </c>
      <c r="N82" s="48"/>
      <c r="O82" s="441"/>
      <c r="P82" s="423"/>
      <c r="Q82" s="63"/>
      <c r="R82" s="66">
        <f t="shared" si="2"/>
        <v>18.75</v>
      </c>
      <c r="S82" s="68"/>
      <c r="T82" s="437"/>
      <c r="U82" s="292"/>
    </row>
    <row r="83" spans="1:21" ht="13.5" customHeight="1">
      <c r="A83" s="365"/>
      <c r="B83" s="366"/>
      <c r="C83" s="366"/>
      <c r="D83" s="366"/>
      <c r="E83" s="366"/>
      <c r="F83" s="366"/>
      <c r="G83" s="53"/>
      <c r="H83" s="425"/>
      <c r="I83" s="426"/>
      <c r="J83" s="426"/>
      <c r="K83" s="426"/>
      <c r="L83" s="63"/>
      <c r="M83" s="425"/>
      <c r="N83" s="426"/>
      <c r="O83" s="426"/>
      <c r="P83" s="426"/>
      <c r="Q83" s="63"/>
      <c r="R83" s="438"/>
      <c r="S83" s="439"/>
      <c r="T83" s="439"/>
      <c r="U83" s="439"/>
    </row>
    <row r="84" spans="1:21" ht="27.75" customHeight="1">
      <c r="A84" s="442" t="s">
        <v>69</v>
      </c>
      <c r="B84" s="79" t="s">
        <v>40</v>
      </c>
      <c r="C84" s="206">
        <v>58</v>
      </c>
      <c r="D84" s="207"/>
      <c r="E84" s="441">
        <f>SUM(C84:C92)/9</f>
        <v>48.111111111111114</v>
      </c>
      <c r="F84" s="324"/>
      <c r="G84" s="53"/>
      <c r="H84" s="216">
        <v>75</v>
      </c>
      <c r="I84" s="214"/>
      <c r="J84" s="441">
        <f>SUM(H84:H92)/9</f>
        <v>74.055555555555557</v>
      </c>
      <c r="K84" s="423"/>
      <c r="L84" s="63"/>
      <c r="M84" s="216">
        <v>91.5</v>
      </c>
      <c r="N84" s="214"/>
      <c r="O84" s="441">
        <f>SUM(M84:M92)/9</f>
        <v>74.333333333333329</v>
      </c>
      <c r="P84" s="423"/>
      <c r="Q84" s="63"/>
      <c r="R84" s="66">
        <f>((C84+H84+M84)*75/300)</f>
        <v>56.125</v>
      </c>
      <c r="S84" s="67"/>
      <c r="T84" s="437">
        <f>SUM(R84:R92)/9</f>
        <v>49.125</v>
      </c>
      <c r="U84" s="292"/>
    </row>
    <row r="85" spans="1:21" ht="15.95" customHeight="1">
      <c r="A85" s="443"/>
      <c r="B85" s="79" t="s">
        <v>41</v>
      </c>
      <c r="C85" s="206">
        <v>100</v>
      </c>
      <c r="D85" s="211"/>
      <c r="E85" s="441"/>
      <c r="F85" s="324"/>
      <c r="G85" s="53"/>
      <c r="H85" s="216">
        <v>100</v>
      </c>
      <c r="I85" s="47"/>
      <c r="J85" s="441"/>
      <c r="K85" s="423"/>
      <c r="L85" s="63"/>
      <c r="M85" s="216">
        <v>100</v>
      </c>
      <c r="N85" s="47"/>
      <c r="O85" s="441"/>
      <c r="P85" s="423"/>
      <c r="Q85" s="63"/>
      <c r="R85" s="66">
        <f t="shared" si="2"/>
        <v>75</v>
      </c>
      <c r="S85" s="65"/>
      <c r="T85" s="437"/>
      <c r="U85" s="292"/>
    </row>
    <row r="86" spans="1:21" ht="26.25" customHeight="1">
      <c r="A86" s="443"/>
      <c r="B86" s="79" t="s">
        <v>42</v>
      </c>
      <c r="C86" s="206">
        <v>33</v>
      </c>
      <c r="D86" s="209"/>
      <c r="E86" s="441"/>
      <c r="F86" s="324"/>
      <c r="G86" s="53"/>
      <c r="H86" s="216">
        <v>133.5</v>
      </c>
      <c r="I86" s="47"/>
      <c r="J86" s="441"/>
      <c r="K86" s="423"/>
      <c r="L86" s="63"/>
      <c r="M86" s="216">
        <v>100</v>
      </c>
      <c r="N86" s="47"/>
      <c r="O86" s="441"/>
      <c r="P86" s="423"/>
      <c r="Q86" s="63"/>
      <c r="R86" s="66">
        <f t="shared" si="2"/>
        <v>66.625</v>
      </c>
      <c r="S86" s="67"/>
      <c r="T86" s="437"/>
      <c r="U86" s="292"/>
    </row>
    <row r="87" spans="1:21" ht="15.95" customHeight="1">
      <c r="A87" s="443"/>
      <c r="B87" s="79" t="s">
        <v>43</v>
      </c>
      <c r="C87" s="206">
        <v>0</v>
      </c>
      <c r="D87" s="209"/>
      <c r="E87" s="441"/>
      <c r="F87" s="324"/>
      <c r="G87" s="53"/>
      <c r="H87" s="216">
        <v>0</v>
      </c>
      <c r="I87" s="48"/>
      <c r="J87" s="441"/>
      <c r="K87" s="423"/>
      <c r="L87" s="63"/>
      <c r="M87" s="216">
        <v>75</v>
      </c>
      <c r="N87" s="214"/>
      <c r="O87" s="441"/>
      <c r="P87" s="423"/>
      <c r="Q87" s="63"/>
      <c r="R87" s="66">
        <f t="shared" si="2"/>
        <v>18.75</v>
      </c>
      <c r="S87" s="68"/>
      <c r="T87" s="437"/>
      <c r="U87" s="292"/>
    </row>
    <row r="88" spans="1:21" ht="27" customHeight="1">
      <c r="A88" s="443"/>
      <c r="B88" s="79" t="s">
        <v>44</v>
      </c>
      <c r="C88" s="206">
        <v>67</v>
      </c>
      <c r="D88" s="207"/>
      <c r="E88" s="441"/>
      <c r="F88" s="324"/>
      <c r="G88" s="53"/>
      <c r="H88" s="216">
        <v>83</v>
      </c>
      <c r="I88" s="214"/>
      <c r="J88" s="441"/>
      <c r="K88" s="423"/>
      <c r="L88" s="63"/>
      <c r="M88" s="216">
        <v>100</v>
      </c>
      <c r="N88" s="47"/>
      <c r="O88" s="441"/>
      <c r="P88" s="423"/>
      <c r="Q88" s="63"/>
      <c r="R88" s="66">
        <f t="shared" si="2"/>
        <v>62.5</v>
      </c>
      <c r="S88" s="67"/>
      <c r="T88" s="437"/>
      <c r="U88" s="292"/>
    </row>
    <row r="89" spans="1:21" ht="30" customHeight="1">
      <c r="A89" s="443"/>
      <c r="B89" s="79" t="s">
        <v>46</v>
      </c>
      <c r="C89" s="206">
        <v>0</v>
      </c>
      <c r="D89" s="209"/>
      <c r="E89" s="441"/>
      <c r="F89" s="324"/>
      <c r="G89" s="53"/>
      <c r="H89" s="216">
        <v>90</v>
      </c>
      <c r="I89" s="214"/>
      <c r="J89" s="441"/>
      <c r="K89" s="423"/>
      <c r="L89" s="63"/>
      <c r="M89" s="216">
        <v>0</v>
      </c>
      <c r="N89" s="48"/>
      <c r="O89" s="441"/>
      <c r="P89" s="423"/>
      <c r="Q89" s="63"/>
      <c r="R89" s="66">
        <f t="shared" si="2"/>
        <v>22.5</v>
      </c>
      <c r="S89" s="68"/>
      <c r="T89" s="437"/>
      <c r="U89" s="292"/>
    </row>
    <row r="90" spans="1:21" ht="15.95" customHeight="1">
      <c r="A90" s="443"/>
      <c r="B90" s="79" t="s">
        <v>47</v>
      </c>
      <c r="C90" s="206">
        <v>0</v>
      </c>
      <c r="D90" s="209"/>
      <c r="E90" s="441"/>
      <c r="F90" s="324"/>
      <c r="G90" s="53"/>
      <c r="H90" s="216">
        <v>0</v>
      </c>
      <c r="I90" s="48"/>
      <c r="J90" s="441"/>
      <c r="K90" s="423"/>
      <c r="L90" s="63"/>
      <c r="M90" s="216">
        <v>25</v>
      </c>
      <c r="N90" s="48"/>
      <c r="O90" s="441"/>
      <c r="P90" s="423"/>
      <c r="Q90" s="63"/>
      <c r="R90" s="66">
        <f t="shared" si="2"/>
        <v>6.25</v>
      </c>
      <c r="S90" s="68"/>
      <c r="T90" s="437"/>
      <c r="U90" s="292"/>
    </row>
    <row r="91" spans="1:21" ht="15.95" customHeight="1">
      <c r="A91" s="443"/>
      <c r="B91" s="79" t="s">
        <v>48</v>
      </c>
      <c r="C91" s="206">
        <v>100</v>
      </c>
      <c r="D91" s="211"/>
      <c r="E91" s="441"/>
      <c r="F91" s="324"/>
      <c r="G91" s="53"/>
      <c r="H91" s="216">
        <v>102</v>
      </c>
      <c r="I91" s="47"/>
      <c r="J91" s="441"/>
      <c r="K91" s="423"/>
      <c r="L91" s="63"/>
      <c r="M91" s="216">
        <v>77.5</v>
      </c>
      <c r="N91" s="214"/>
      <c r="O91" s="441"/>
      <c r="P91" s="423"/>
      <c r="Q91" s="63"/>
      <c r="R91" s="66">
        <f t="shared" si="2"/>
        <v>69.875</v>
      </c>
      <c r="S91" s="67"/>
      <c r="T91" s="437"/>
      <c r="U91" s="292"/>
    </row>
    <row r="92" spans="1:21" ht="15.95" customHeight="1">
      <c r="A92" s="444"/>
      <c r="B92" s="79" t="s">
        <v>49</v>
      </c>
      <c r="C92" s="206">
        <v>75</v>
      </c>
      <c r="D92" s="207"/>
      <c r="E92" s="441"/>
      <c r="F92" s="324"/>
      <c r="G92" s="53"/>
      <c r="H92" s="216">
        <v>83</v>
      </c>
      <c r="I92" s="214"/>
      <c r="J92" s="441"/>
      <c r="K92" s="423"/>
      <c r="L92" s="63"/>
      <c r="M92" s="216">
        <v>100</v>
      </c>
      <c r="N92" s="47"/>
      <c r="O92" s="441"/>
      <c r="P92" s="423"/>
      <c r="Q92" s="63"/>
      <c r="R92" s="66">
        <f t="shared" si="2"/>
        <v>64.5</v>
      </c>
      <c r="S92" s="67"/>
      <c r="T92" s="437"/>
      <c r="U92" s="292"/>
    </row>
    <row r="93" spans="1:21" ht="15.95" customHeight="1">
      <c r="A93" s="365"/>
      <c r="B93" s="366"/>
      <c r="C93" s="366"/>
      <c r="D93" s="366"/>
      <c r="E93" s="366"/>
      <c r="F93" s="366"/>
      <c r="G93" s="53"/>
      <c r="H93" s="426"/>
      <c r="I93" s="426"/>
      <c r="J93" s="426"/>
      <c r="K93" s="426"/>
      <c r="L93" s="63"/>
      <c r="M93" s="426"/>
      <c r="N93" s="426"/>
      <c r="O93" s="426"/>
      <c r="P93" s="426"/>
      <c r="Q93" s="63"/>
      <c r="R93" s="357"/>
      <c r="S93" s="357"/>
      <c r="T93" s="357"/>
      <c r="U93" s="357"/>
    </row>
    <row r="94" spans="1:21" s="84" customFormat="1" ht="67.5" customHeight="1">
      <c r="A94" s="87" t="s">
        <v>70</v>
      </c>
      <c r="B94" s="78" t="s">
        <v>36</v>
      </c>
      <c r="C94" s="206">
        <v>25</v>
      </c>
      <c r="D94" s="209"/>
      <c r="E94" s="206">
        <v>25</v>
      </c>
      <c r="F94" s="86"/>
      <c r="G94" s="53"/>
      <c r="H94" s="216">
        <v>82</v>
      </c>
      <c r="I94" s="214"/>
      <c r="J94" s="216">
        <f>H94/1</f>
        <v>82</v>
      </c>
      <c r="K94" s="214"/>
      <c r="L94" s="63"/>
      <c r="M94" s="216">
        <v>12.5</v>
      </c>
      <c r="N94" s="48"/>
      <c r="O94" s="216">
        <f>M94/1</f>
        <v>12.5</v>
      </c>
      <c r="P94" s="48"/>
      <c r="Q94" s="63"/>
      <c r="R94" s="66">
        <f>((C94+H94)*50/200)</f>
        <v>26.75</v>
      </c>
      <c r="S94" s="68"/>
      <c r="T94" s="149">
        <f>R94/1</f>
        <v>26.75</v>
      </c>
      <c r="U94" s="68"/>
    </row>
  </sheetData>
  <mergeCells count="120">
    <mergeCell ref="P84:P92"/>
    <mergeCell ref="T84:T92"/>
    <mergeCell ref="U84:U92"/>
    <mergeCell ref="A93:F93"/>
    <mergeCell ref="H93:K93"/>
    <mergeCell ref="M93:P93"/>
    <mergeCell ref="R93:U93"/>
    <mergeCell ref="A84:A92"/>
    <mergeCell ref="E84:E92"/>
    <mergeCell ref="F84:F92"/>
    <mergeCell ref="J84:J92"/>
    <mergeCell ref="K84:K92"/>
    <mergeCell ref="O84:O92"/>
    <mergeCell ref="P73:P82"/>
    <mergeCell ref="T73:T82"/>
    <mergeCell ref="U73:U82"/>
    <mergeCell ref="A83:F83"/>
    <mergeCell ref="H83:K83"/>
    <mergeCell ref="M83:P83"/>
    <mergeCell ref="R83:U83"/>
    <mergeCell ref="A73:A82"/>
    <mergeCell ref="E73:E82"/>
    <mergeCell ref="F73:F82"/>
    <mergeCell ref="J73:J82"/>
    <mergeCell ref="K73:K82"/>
    <mergeCell ref="O73:O82"/>
    <mergeCell ref="P59:P71"/>
    <mergeCell ref="T59:T71"/>
    <mergeCell ref="U59:U71"/>
    <mergeCell ref="A72:F72"/>
    <mergeCell ref="H72:K72"/>
    <mergeCell ref="M72:P72"/>
    <mergeCell ref="R72:U72"/>
    <mergeCell ref="A59:A71"/>
    <mergeCell ref="E59:E71"/>
    <mergeCell ref="F59:F71"/>
    <mergeCell ref="J59:J71"/>
    <mergeCell ref="K59:K71"/>
    <mergeCell ref="O59:O71"/>
    <mergeCell ref="P52:P57"/>
    <mergeCell ref="T52:T57"/>
    <mergeCell ref="U52:U57"/>
    <mergeCell ref="A58:F58"/>
    <mergeCell ref="H58:K58"/>
    <mergeCell ref="M58:P58"/>
    <mergeCell ref="R58:U58"/>
    <mergeCell ref="A52:A57"/>
    <mergeCell ref="E52:E57"/>
    <mergeCell ref="F52:F57"/>
    <mergeCell ref="J52:J57"/>
    <mergeCell ref="K52:K57"/>
    <mergeCell ref="O52:O57"/>
    <mergeCell ref="A46:U46"/>
    <mergeCell ref="A47:U47"/>
    <mergeCell ref="A49:A50"/>
    <mergeCell ref="B49:B50"/>
    <mergeCell ref="C49:F49"/>
    <mergeCell ref="H49:K49"/>
    <mergeCell ref="M49:P49"/>
    <mergeCell ref="R49:U49"/>
    <mergeCell ref="T35:T44"/>
    <mergeCell ref="U35:U44"/>
    <mergeCell ref="C45:E45"/>
    <mergeCell ref="H45:J45"/>
    <mergeCell ref="M45:O45"/>
    <mergeCell ref="R45:T45"/>
    <mergeCell ref="E35:E44"/>
    <mergeCell ref="F35:F44"/>
    <mergeCell ref="J35:J44"/>
    <mergeCell ref="K35:K44"/>
    <mergeCell ref="O35:O44"/>
    <mergeCell ref="P35:P44"/>
    <mergeCell ref="T17:T28"/>
    <mergeCell ref="U17:U28"/>
    <mergeCell ref="E29:E34"/>
    <mergeCell ref="F29:F34"/>
    <mergeCell ref="J29:J34"/>
    <mergeCell ref="K29:K34"/>
    <mergeCell ref="O29:O34"/>
    <mergeCell ref="P29:P34"/>
    <mergeCell ref="T29:T34"/>
    <mergeCell ref="U29:U34"/>
    <mergeCell ref="E17:E28"/>
    <mergeCell ref="F17:F28"/>
    <mergeCell ref="J17:J28"/>
    <mergeCell ref="K17:K28"/>
    <mergeCell ref="O17:O28"/>
    <mergeCell ref="P17:P28"/>
    <mergeCell ref="U11:U12"/>
    <mergeCell ref="E13:E16"/>
    <mergeCell ref="F13:F16"/>
    <mergeCell ref="J13:J16"/>
    <mergeCell ref="K13:K16"/>
    <mergeCell ref="O13:O16"/>
    <mergeCell ref="P13:P16"/>
    <mergeCell ref="T13:T16"/>
    <mergeCell ref="U13:U16"/>
    <mergeCell ref="E11:E12"/>
    <mergeCell ref="F11:F12"/>
    <mergeCell ref="J11:J12"/>
    <mergeCell ref="K11:K12"/>
    <mergeCell ref="O11:O12"/>
    <mergeCell ref="P11:P12"/>
    <mergeCell ref="S11:S12"/>
    <mergeCell ref="T11:T12"/>
    <mergeCell ref="E7:E10"/>
    <mergeCell ref="F7:F10"/>
    <mergeCell ref="J7:J10"/>
    <mergeCell ref="K7:K10"/>
    <mergeCell ref="O7:O10"/>
    <mergeCell ref="P7:P10"/>
    <mergeCell ref="B1:U1"/>
    <mergeCell ref="B2:U2"/>
    <mergeCell ref="B4:B5"/>
    <mergeCell ref="C4:F4"/>
    <mergeCell ref="H4:K4"/>
    <mergeCell ref="M4:P4"/>
    <mergeCell ref="R4:U4"/>
    <mergeCell ref="T7:T10"/>
    <mergeCell ref="U7:U10"/>
  </mergeCells>
  <pageMargins left="0.70866141732283472" right="0.70866141732283472" top="0.74803149606299213" bottom="0.74803149606299213" header="0.31496062992125984" footer="0.31496062992125984"/>
  <pageSetup scale="95" orientation="landscape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94"/>
  <sheetViews>
    <sheetView topLeftCell="A46" zoomScaleNormal="100" workbookViewId="0">
      <pane ySplit="5" topLeftCell="A51" activePane="bottomLeft" state="frozen"/>
      <selection activeCell="A46" sqref="A46"/>
      <selection pane="bottomLeft" activeCell="T63" sqref="T63"/>
    </sheetView>
  </sheetViews>
  <sheetFormatPr baseColWidth="10" defaultRowHeight="15"/>
  <cols>
    <col min="1" max="1" width="20.28515625" customWidth="1"/>
    <col min="2" max="2" width="28.5703125" style="8" customWidth="1"/>
    <col min="3" max="3" width="7.140625" style="8" customWidth="1"/>
    <col min="4" max="4" width="5.7109375" style="8" customWidth="1"/>
    <col min="5" max="5" width="7.28515625" style="8" customWidth="1"/>
    <col min="6" max="6" width="5.7109375" style="8" customWidth="1"/>
    <col min="7" max="7" width="1.42578125" style="41" customWidth="1"/>
    <col min="8" max="8" width="6.85546875" style="8" customWidth="1"/>
    <col min="9" max="9" width="6.28515625" style="8" customWidth="1"/>
    <col min="10" max="10" width="6.7109375" style="8" customWidth="1"/>
    <col min="11" max="11" width="6.28515625" style="10" customWidth="1"/>
    <col min="12" max="12" width="2" style="61" customWidth="1"/>
    <col min="13" max="13" width="6.5703125" style="61" customWidth="1"/>
    <col min="14" max="14" width="5.140625" style="31" customWidth="1"/>
    <col min="15" max="15" width="6.5703125" style="32" customWidth="1"/>
    <col min="16" max="16" width="6.42578125" style="33" customWidth="1"/>
  </cols>
  <sheetData>
    <row r="1" spans="2:16" ht="18" hidden="1" customHeight="1"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2:16" ht="18" hidden="1" customHeight="1"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spans="2:16" ht="18" hidden="1" customHeight="1"/>
    <row r="4" spans="2:16" ht="18" hidden="1" customHeight="1">
      <c r="B4" s="342" t="s">
        <v>1</v>
      </c>
      <c r="C4" s="325">
        <v>2016</v>
      </c>
      <c r="D4" s="325"/>
      <c r="E4" s="325"/>
      <c r="F4" s="325"/>
      <c r="G4" s="52"/>
      <c r="H4" s="325">
        <v>2017</v>
      </c>
      <c r="I4" s="325"/>
      <c r="J4" s="325"/>
      <c r="K4" s="325"/>
      <c r="L4" s="62"/>
      <c r="M4" s="326" t="s">
        <v>61</v>
      </c>
      <c r="N4" s="326"/>
      <c r="O4" s="326"/>
      <c r="P4" s="326"/>
    </row>
    <row r="5" spans="2:16" s="17" customFormat="1" ht="43.5" hidden="1" customHeight="1">
      <c r="B5" s="342"/>
      <c r="C5" s="43" t="s">
        <v>58</v>
      </c>
      <c r="D5" s="43"/>
      <c r="E5" s="43" t="s">
        <v>58</v>
      </c>
      <c r="F5" s="43"/>
      <c r="G5" s="53"/>
      <c r="H5" s="43" t="s">
        <v>58</v>
      </c>
      <c r="I5" s="43"/>
      <c r="J5" s="43" t="s">
        <v>58</v>
      </c>
      <c r="K5" s="43"/>
      <c r="L5" s="54"/>
      <c r="M5" s="70" t="s">
        <v>62</v>
      </c>
      <c r="N5" s="53"/>
      <c r="O5" s="71" t="s">
        <v>60</v>
      </c>
      <c r="P5" s="72"/>
    </row>
    <row r="6" spans="2:16" ht="15.95" hidden="1" customHeight="1">
      <c r="B6" s="75" t="s">
        <v>63</v>
      </c>
      <c r="C6" s="34">
        <v>100</v>
      </c>
      <c r="D6" s="45"/>
      <c r="E6" s="34">
        <v>100</v>
      </c>
      <c r="F6" s="34"/>
      <c r="G6" s="53"/>
      <c r="H6" s="11">
        <v>50</v>
      </c>
      <c r="I6" s="47"/>
      <c r="J6" s="11">
        <v>50</v>
      </c>
      <c r="K6" s="47"/>
      <c r="L6" s="63"/>
      <c r="M6" s="40">
        <f>((C6+H6)*37.5)/150</f>
        <v>37.5</v>
      </c>
      <c r="N6" s="65"/>
      <c r="O6" s="51">
        <v>37.5</v>
      </c>
      <c r="P6" s="5"/>
    </row>
    <row r="7" spans="2:16" ht="15.95" hidden="1" customHeight="1">
      <c r="B7" s="74" t="s">
        <v>4</v>
      </c>
      <c r="C7" s="34">
        <v>86</v>
      </c>
      <c r="D7" s="44"/>
      <c r="E7" s="320">
        <f>SUM(C7:C10)/4</f>
        <v>71</v>
      </c>
      <c r="F7" s="323"/>
      <c r="G7" s="53"/>
      <c r="H7" s="11">
        <f>(147*50)/100</f>
        <v>73.5</v>
      </c>
      <c r="I7" s="47"/>
      <c r="J7" s="306">
        <f>SUM(H7:H10)/4</f>
        <v>46.375</v>
      </c>
      <c r="K7" s="302"/>
      <c r="L7" s="64"/>
      <c r="M7" s="66">
        <f t="shared" ref="M7:M16" si="0">((C7+H7)*37.5/150)</f>
        <v>39.875</v>
      </c>
      <c r="N7" s="65"/>
      <c r="O7" s="331">
        <f>SUM(M7:M10)/4</f>
        <v>29.34375</v>
      </c>
      <c r="P7" s="349"/>
    </row>
    <row r="8" spans="2:16" ht="15.95" hidden="1" customHeight="1">
      <c r="B8" s="77" t="s">
        <v>5</v>
      </c>
      <c r="C8" s="34">
        <v>72</v>
      </c>
      <c r="D8" s="44"/>
      <c r="E8" s="320"/>
      <c r="F8" s="323"/>
      <c r="G8" s="53"/>
      <c r="H8" s="11">
        <v>50</v>
      </c>
      <c r="I8" s="47"/>
      <c r="J8" s="306"/>
      <c r="K8" s="303"/>
      <c r="L8" s="64"/>
      <c r="M8" s="66">
        <f t="shared" si="0"/>
        <v>30.5</v>
      </c>
      <c r="N8" s="67"/>
      <c r="O8" s="332"/>
      <c r="P8" s="350"/>
    </row>
    <row r="9" spans="2:16" ht="15.95" hidden="1" customHeight="1">
      <c r="B9" s="77" t="s">
        <v>6</v>
      </c>
      <c r="C9" s="34">
        <v>59</v>
      </c>
      <c r="D9" s="44"/>
      <c r="E9" s="320"/>
      <c r="F9" s="323"/>
      <c r="G9" s="53"/>
      <c r="H9" s="11">
        <v>24.5</v>
      </c>
      <c r="I9" s="48"/>
      <c r="J9" s="306"/>
      <c r="K9" s="303"/>
      <c r="L9" s="64"/>
      <c r="M9" s="66">
        <f t="shared" si="0"/>
        <v>20.875</v>
      </c>
      <c r="N9" s="68"/>
      <c r="O9" s="332"/>
      <c r="P9" s="350"/>
    </row>
    <row r="10" spans="2:16" ht="27.75" hidden="1" customHeight="1">
      <c r="B10" s="77" t="s">
        <v>7</v>
      </c>
      <c r="C10" s="34">
        <v>67</v>
      </c>
      <c r="D10" s="44"/>
      <c r="E10" s="320"/>
      <c r="F10" s="323"/>
      <c r="G10" s="53"/>
      <c r="H10" s="11">
        <f>(75*50)/100</f>
        <v>37.5</v>
      </c>
      <c r="I10" s="49"/>
      <c r="J10" s="306"/>
      <c r="K10" s="304"/>
      <c r="L10" s="64"/>
      <c r="M10" s="66">
        <f t="shared" si="0"/>
        <v>26.125</v>
      </c>
      <c r="N10" s="67"/>
      <c r="O10" s="333"/>
      <c r="P10" s="351"/>
    </row>
    <row r="11" spans="2:16" ht="15.95" hidden="1" customHeight="1">
      <c r="B11" s="76" t="s">
        <v>12</v>
      </c>
      <c r="C11" s="34">
        <v>100</v>
      </c>
      <c r="D11" s="45"/>
      <c r="E11" s="320">
        <f>SUM(C11:C12)/2</f>
        <v>100</v>
      </c>
      <c r="F11" s="343"/>
      <c r="G11" s="53"/>
      <c r="H11" s="11">
        <v>50</v>
      </c>
      <c r="I11" s="47"/>
      <c r="J11" s="312">
        <f>SUM(H11:H12)/2</f>
        <v>50</v>
      </c>
      <c r="K11" s="317"/>
      <c r="L11" s="64"/>
      <c r="M11" s="66">
        <f t="shared" si="0"/>
        <v>37.5</v>
      </c>
      <c r="N11" s="420"/>
      <c r="O11" s="331">
        <f>SUM(M11:M12)/2</f>
        <v>37.5</v>
      </c>
      <c r="P11" s="419"/>
    </row>
    <row r="12" spans="2:16" ht="15.95" hidden="1" customHeight="1">
      <c r="B12" s="77" t="s">
        <v>13</v>
      </c>
      <c r="C12" s="34">
        <v>100</v>
      </c>
      <c r="D12" s="45"/>
      <c r="E12" s="320"/>
      <c r="F12" s="343"/>
      <c r="G12" s="53"/>
      <c r="H12" s="11">
        <v>50</v>
      </c>
      <c r="I12" s="47"/>
      <c r="J12" s="313"/>
      <c r="K12" s="317"/>
      <c r="L12" s="64"/>
      <c r="M12" s="66">
        <f t="shared" si="0"/>
        <v>37.5</v>
      </c>
      <c r="N12" s="420"/>
      <c r="O12" s="333"/>
      <c r="P12" s="419"/>
    </row>
    <row r="13" spans="2:16" ht="27" hidden="1" customHeight="1">
      <c r="B13" s="77" t="s">
        <v>15</v>
      </c>
      <c r="C13" s="34">
        <v>54</v>
      </c>
      <c r="D13" s="44"/>
      <c r="E13" s="306">
        <f>SUM(C13:C16)/4</f>
        <v>60.25</v>
      </c>
      <c r="F13" s="323"/>
      <c r="G13" s="53"/>
      <c r="H13" s="11">
        <f>(50*50)/100</f>
        <v>25</v>
      </c>
      <c r="I13" s="48"/>
      <c r="J13" s="306">
        <f>SUM(H13:H16)/4</f>
        <v>28.625</v>
      </c>
      <c r="K13" s="318"/>
      <c r="L13" s="64"/>
      <c r="M13" s="66">
        <f t="shared" si="0"/>
        <v>19.75</v>
      </c>
      <c r="N13" s="67"/>
      <c r="O13" s="331">
        <f>SUM(M13:M16)/4</f>
        <v>22.21875</v>
      </c>
      <c r="P13" s="327"/>
    </row>
    <row r="14" spans="2:16" ht="27" hidden="1" customHeight="1">
      <c r="B14" s="74" t="s">
        <v>16</v>
      </c>
      <c r="C14" s="34">
        <v>71</v>
      </c>
      <c r="D14" s="44"/>
      <c r="E14" s="306"/>
      <c r="F14" s="323"/>
      <c r="G14" s="53"/>
      <c r="H14" s="11">
        <f>(79*50)/100</f>
        <v>39.5</v>
      </c>
      <c r="I14" s="49"/>
      <c r="J14" s="306"/>
      <c r="K14" s="318"/>
      <c r="L14" s="64"/>
      <c r="M14" s="66">
        <f t="shared" si="0"/>
        <v>27.625</v>
      </c>
      <c r="N14" s="67"/>
      <c r="O14" s="332"/>
      <c r="P14" s="327"/>
    </row>
    <row r="15" spans="2:16" ht="15.95" hidden="1" customHeight="1">
      <c r="B15" s="74" t="s">
        <v>17</v>
      </c>
      <c r="C15" s="34">
        <v>50</v>
      </c>
      <c r="D15" s="44"/>
      <c r="E15" s="306"/>
      <c r="F15" s="323"/>
      <c r="G15" s="53"/>
      <c r="H15" s="11">
        <v>50</v>
      </c>
      <c r="I15" s="47"/>
      <c r="J15" s="306"/>
      <c r="K15" s="318"/>
      <c r="L15" s="64"/>
      <c r="M15" s="66">
        <f t="shared" si="0"/>
        <v>25</v>
      </c>
      <c r="N15" s="67"/>
      <c r="O15" s="332"/>
      <c r="P15" s="327"/>
    </row>
    <row r="16" spans="2:16" ht="15.95" hidden="1" customHeight="1">
      <c r="B16" s="77" t="s">
        <v>18</v>
      </c>
      <c r="C16" s="34">
        <v>66</v>
      </c>
      <c r="D16" s="44"/>
      <c r="E16" s="306"/>
      <c r="F16" s="323"/>
      <c r="G16" s="53"/>
      <c r="H16" s="11">
        <v>0</v>
      </c>
      <c r="I16" s="48"/>
      <c r="J16" s="306"/>
      <c r="K16" s="319"/>
      <c r="L16" s="64"/>
      <c r="M16" s="66">
        <f t="shared" si="0"/>
        <v>16.5</v>
      </c>
      <c r="N16" s="69"/>
      <c r="O16" s="333"/>
      <c r="P16" s="327"/>
    </row>
    <row r="17" spans="2:16" ht="15.95" hidden="1" customHeight="1">
      <c r="B17" s="76" t="s">
        <v>20</v>
      </c>
      <c r="C17" s="34">
        <v>56</v>
      </c>
      <c r="D17" s="44"/>
      <c r="E17" s="306">
        <f>SUM(C17:C28)/12</f>
        <v>75.583333333333329</v>
      </c>
      <c r="F17" s="323"/>
      <c r="G17" s="53"/>
      <c r="H17" s="11">
        <f>(123*50)/100</f>
        <v>61.5</v>
      </c>
      <c r="I17" s="47"/>
      <c r="J17" s="306">
        <f>SUM(H17:H28)/12</f>
        <v>49.583333333333336</v>
      </c>
      <c r="K17" s="308"/>
      <c r="L17" s="63"/>
      <c r="M17" s="66">
        <f t="shared" ref="M17:M44" si="1">((C17+H17)*37.5/150)</f>
        <v>29.375</v>
      </c>
      <c r="N17" s="67"/>
      <c r="O17" s="331">
        <f>SUM(M17:M28)/12</f>
        <v>31.291666666666668</v>
      </c>
      <c r="P17" s="327"/>
    </row>
    <row r="18" spans="2:16" ht="15.95" hidden="1" customHeight="1">
      <c r="B18" s="74" t="s">
        <v>21</v>
      </c>
      <c r="C18" s="34">
        <v>77</v>
      </c>
      <c r="D18" s="44"/>
      <c r="E18" s="306"/>
      <c r="F18" s="323"/>
      <c r="G18" s="53"/>
      <c r="H18" s="11">
        <v>36.5</v>
      </c>
      <c r="I18" s="49"/>
      <c r="J18" s="306"/>
      <c r="K18" s="309"/>
      <c r="L18" s="63"/>
      <c r="M18" s="66">
        <f>((C18+H18)*37.5/150)</f>
        <v>28.375</v>
      </c>
      <c r="N18" s="67"/>
      <c r="O18" s="332"/>
      <c r="P18" s="327"/>
    </row>
    <row r="19" spans="2:16" ht="15.95" hidden="1" customHeight="1">
      <c r="B19" s="76" t="s">
        <v>22</v>
      </c>
      <c r="C19" s="34">
        <v>100</v>
      </c>
      <c r="D19" s="45"/>
      <c r="E19" s="306"/>
      <c r="F19" s="323"/>
      <c r="G19" s="53"/>
      <c r="H19" s="11">
        <v>50</v>
      </c>
      <c r="I19" s="47"/>
      <c r="J19" s="306"/>
      <c r="K19" s="309"/>
      <c r="L19" s="63"/>
      <c r="M19" s="66">
        <f t="shared" si="1"/>
        <v>37.5</v>
      </c>
      <c r="N19" s="65"/>
      <c r="O19" s="332"/>
      <c r="P19" s="327"/>
    </row>
    <row r="20" spans="2:16" ht="15.95" hidden="1" customHeight="1">
      <c r="B20" s="76" t="s">
        <v>23</v>
      </c>
      <c r="C20" s="34">
        <v>50</v>
      </c>
      <c r="D20" s="44"/>
      <c r="E20" s="306"/>
      <c r="F20" s="323"/>
      <c r="G20" s="53"/>
      <c r="H20" s="11">
        <v>50</v>
      </c>
      <c r="I20" s="47"/>
      <c r="J20" s="306"/>
      <c r="K20" s="309"/>
      <c r="L20" s="63"/>
      <c r="M20" s="66">
        <f t="shared" si="1"/>
        <v>25</v>
      </c>
      <c r="N20" s="67"/>
      <c r="O20" s="332"/>
      <c r="P20" s="327"/>
    </row>
    <row r="21" spans="2:16" ht="15.95" hidden="1" customHeight="1">
      <c r="B21" s="74" t="s">
        <v>24</v>
      </c>
      <c r="C21" s="34">
        <v>89</v>
      </c>
      <c r="D21" s="44"/>
      <c r="E21" s="306"/>
      <c r="F21" s="323"/>
      <c r="G21" s="53"/>
      <c r="H21" s="11">
        <f>(95*50)/100</f>
        <v>47.5</v>
      </c>
      <c r="I21" s="49"/>
      <c r="J21" s="306"/>
      <c r="K21" s="309"/>
      <c r="L21" s="63"/>
      <c r="M21" s="66">
        <f t="shared" si="1"/>
        <v>34.125</v>
      </c>
      <c r="N21" s="67"/>
      <c r="O21" s="332"/>
      <c r="P21" s="327"/>
    </row>
    <row r="22" spans="2:16" ht="15.95" hidden="1" customHeight="1">
      <c r="B22" s="74" t="s">
        <v>25</v>
      </c>
      <c r="C22" s="34">
        <v>100</v>
      </c>
      <c r="D22" s="45"/>
      <c r="E22" s="306"/>
      <c r="F22" s="323"/>
      <c r="G22" s="53"/>
      <c r="H22" s="11">
        <f>(94*50)/100</f>
        <v>47</v>
      </c>
      <c r="I22" s="49"/>
      <c r="J22" s="306"/>
      <c r="K22" s="309"/>
      <c r="L22" s="63"/>
      <c r="M22" s="66">
        <f t="shared" si="1"/>
        <v>36.75</v>
      </c>
      <c r="N22" s="67"/>
      <c r="O22" s="332"/>
      <c r="P22" s="327"/>
    </row>
    <row r="23" spans="2:16" ht="15.95" hidden="1" customHeight="1">
      <c r="B23" s="76" t="s">
        <v>26</v>
      </c>
      <c r="C23" s="34">
        <v>97</v>
      </c>
      <c r="D23" s="44"/>
      <c r="E23" s="306"/>
      <c r="F23" s="323"/>
      <c r="G23" s="53"/>
      <c r="H23" s="11">
        <f>(99*50)/100</f>
        <v>49.5</v>
      </c>
      <c r="I23" s="49"/>
      <c r="J23" s="306"/>
      <c r="K23" s="309"/>
      <c r="L23" s="63"/>
      <c r="M23" s="66">
        <f t="shared" si="1"/>
        <v>36.625</v>
      </c>
      <c r="N23" s="67"/>
      <c r="O23" s="332"/>
      <c r="P23" s="327"/>
    </row>
    <row r="24" spans="2:16" ht="24.75" hidden="1" customHeight="1">
      <c r="B24" s="76" t="s">
        <v>27</v>
      </c>
      <c r="C24" s="34">
        <v>78</v>
      </c>
      <c r="D24" s="44"/>
      <c r="E24" s="306"/>
      <c r="F24" s="323"/>
      <c r="G24" s="53"/>
      <c r="H24" s="11">
        <f>(91*50)/100</f>
        <v>45.5</v>
      </c>
      <c r="I24" s="49"/>
      <c r="J24" s="306"/>
      <c r="K24" s="309"/>
      <c r="L24" s="63"/>
      <c r="M24" s="66">
        <f t="shared" si="1"/>
        <v>30.875</v>
      </c>
      <c r="N24" s="67"/>
      <c r="O24" s="332"/>
      <c r="P24" s="327"/>
    </row>
    <row r="25" spans="2:16" ht="15.95" hidden="1" customHeight="1">
      <c r="B25" s="77" t="s">
        <v>28</v>
      </c>
      <c r="C25" s="34">
        <v>7</v>
      </c>
      <c r="D25" s="46"/>
      <c r="E25" s="306"/>
      <c r="F25" s="323"/>
      <c r="G25" s="53"/>
      <c r="H25" s="11">
        <f>(183*50)/100</f>
        <v>91.5</v>
      </c>
      <c r="I25" s="47"/>
      <c r="J25" s="306"/>
      <c r="K25" s="309"/>
      <c r="L25" s="63"/>
      <c r="M25" s="66">
        <f t="shared" si="1"/>
        <v>24.625</v>
      </c>
      <c r="N25" s="67"/>
      <c r="O25" s="332"/>
      <c r="P25" s="327"/>
    </row>
    <row r="26" spans="2:16" ht="15.95" hidden="1" customHeight="1">
      <c r="B26" s="77" t="s">
        <v>29</v>
      </c>
      <c r="C26" s="34">
        <v>100</v>
      </c>
      <c r="D26" s="45"/>
      <c r="E26" s="306"/>
      <c r="F26" s="323"/>
      <c r="G26" s="53"/>
      <c r="H26" s="11">
        <f>(67*50)/100</f>
        <v>33.5</v>
      </c>
      <c r="I26" s="49"/>
      <c r="J26" s="306"/>
      <c r="K26" s="309"/>
      <c r="L26" s="63"/>
      <c r="M26" s="66">
        <f t="shared" si="1"/>
        <v>33.375</v>
      </c>
      <c r="N26" s="67"/>
      <c r="O26" s="332"/>
      <c r="P26" s="327"/>
    </row>
    <row r="27" spans="2:16" ht="15.95" hidden="1" customHeight="1">
      <c r="B27" s="77" t="s">
        <v>30</v>
      </c>
      <c r="C27" s="34">
        <v>67</v>
      </c>
      <c r="D27" s="44"/>
      <c r="E27" s="306"/>
      <c r="F27" s="323"/>
      <c r="G27" s="53"/>
      <c r="H27" s="11">
        <f>(65*50)/100</f>
        <v>32.5</v>
      </c>
      <c r="I27" s="49"/>
      <c r="J27" s="306"/>
      <c r="K27" s="309"/>
      <c r="L27" s="63"/>
      <c r="M27" s="66">
        <f t="shared" si="1"/>
        <v>24.875</v>
      </c>
      <c r="N27" s="67"/>
      <c r="O27" s="332"/>
      <c r="P27" s="327"/>
    </row>
    <row r="28" spans="2:16" ht="15.95" hidden="1" customHeight="1">
      <c r="B28" s="77" t="s">
        <v>31</v>
      </c>
      <c r="C28" s="34">
        <v>86</v>
      </c>
      <c r="D28" s="44"/>
      <c r="E28" s="306"/>
      <c r="F28" s="323"/>
      <c r="G28" s="53"/>
      <c r="H28" s="11">
        <v>50</v>
      </c>
      <c r="I28" s="47"/>
      <c r="J28" s="306"/>
      <c r="K28" s="310"/>
      <c r="L28" s="63"/>
      <c r="M28" s="66">
        <f t="shared" si="1"/>
        <v>34</v>
      </c>
      <c r="N28" s="67"/>
      <c r="O28" s="333"/>
      <c r="P28" s="327"/>
    </row>
    <row r="29" spans="2:16" ht="15.95" hidden="1" customHeight="1">
      <c r="B29" s="77" t="s">
        <v>33</v>
      </c>
      <c r="C29" s="34">
        <v>14</v>
      </c>
      <c r="D29" s="46"/>
      <c r="E29" s="306">
        <f>SUM(C29:C34)/6</f>
        <v>21.333333333333332</v>
      </c>
      <c r="F29" s="324"/>
      <c r="G29" s="53"/>
      <c r="H29" s="11">
        <f>(36*50)/100</f>
        <v>18</v>
      </c>
      <c r="I29" s="48"/>
      <c r="J29" s="306">
        <f>SUM(H29:H34)/6</f>
        <v>36.083333333333336</v>
      </c>
      <c r="K29" s="308"/>
      <c r="L29" s="63"/>
      <c r="M29" s="66">
        <f t="shared" si="1"/>
        <v>8</v>
      </c>
      <c r="N29" s="68"/>
      <c r="O29" s="322">
        <f>SUM(M29:M34)/6</f>
        <v>14.354166666666666</v>
      </c>
      <c r="P29" s="421"/>
    </row>
    <row r="30" spans="2:16" ht="15.95" hidden="1" customHeight="1">
      <c r="B30" s="76" t="s">
        <v>34</v>
      </c>
      <c r="C30" s="34">
        <v>54</v>
      </c>
      <c r="D30" s="44"/>
      <c r="E30" s="306"/>
      <c r="F30" s="324"/>
      <c r="G30" s="53"/>
      <c r="H30" s="11">
        <f>(98*50)/100</f>
        <v>49</v>
      </c>
      <c r="I30" s="49"/>
      <c r="J30" s="306"/>
      <c r="K30" s="309"/>
      <c r="L30" s="63"/>
      <c r="M30" s="66">
        <f t="shared" si="1"/>
        <v>25.75</v>
      </c>
      <c r="N30" s="67"/>
      <c r="O30" s="322"/>
      <c r="P30" s="421"/>
    </row>
    <row r="31" spans="2:16" ht="15.95" hidden="1" customHeight="1">
      <c r="B31" s="79" t="s">
        <v>35</v>
      </c>
      <c r="C31" s="34">
        <v>8</v>
      </c>
      <c r="D31" s="46"/>
      <c r="E31" s="306"/>
      <c r="F31" s="324"/>
      <c r="G31" s="53"/>
      <c r="H31" s="11">
        <v>50</v>
      </c>
      <c r="I31" s="47"/>
      <c r="J31" s="306"/>
      <c r="K31" s="309"/>
      <c r="L31" s="63"/>
      <c r="M31" s="66">
        <f t="shared" si="1"/>
        <v>14.5</v>
      </c>
      <c r="N31" s="68"/>
      <c r="O31" s="322"/>
      <c r="P31" s="421"/>
    </row>
    <row r="32" spans="2:16" ht="27.75" hidden="1" customHeight="1">
      <c r="B32" s="78" t="s">
        <v>36</v>
      </c>
      <c r="C32" s="34">
        <v>25</v>
      </c>
      <c r="D32" s="46"/>
      <c r="E32" s="306"/>
      <c r="F32" s="324"/>
      <c r="G32" s="53"/>
      <c r="H32" s="11">
        <f>(99*50)/100</f>
        <v>49.5</v>
      </c>
      <c r="I32" s="49"/>
      <c r="J32" s="306"/>
      <c r="K32" s="309"/>
      <c r="L32" s="63"/>
      <c r="M32" s="66">
        <f t="shared" si="1"/>
        <v>18.625</v>
      </c>
      <c r="N32" s="68"/>
      <c r="O32" s="322"/>
      <c r="P32" s="421"/>
    </row>
    <row r="33" spans="1:16" ht="27" hidden="1" customHeight="1">
      <c r="B33" s="76" t="s">
        <v>37</v>
      </c>
      <c r="C33" s="34">
        <v>10</v>
      </c>
      <c r="D33" s="46"/>
      <c r="E33" s="306"/>
      <c r="F33" s="324"/>
      <c r="G33" s="53"/>
      <c r="H33" s="11">
        <f>(50*50)/100</f>
        <v>25</v>
      </c>
      <c r="I33" s="48"/>
      <c r="J33" s="306"/>
      <c r="K33" s="309"/>
      <c r="L33" s="63"/>
      <c r="M33" s="66">
        <f t="shared" si="1"/>
        <v>8.75</v>
      </c>
      <c r="N33" s="68"/>
      <c r="O33" s="322"/>
      <c r="P33" s="421"/>
    </row>
    <row r="34" spans="1:16" ht="15.95" hidden="1" customHeight="1">
      <c r="B34" s="77" t="s">
        <v>38</v>
      </c>
      <c r="C34" s="34">
        <v>17</v>
      </c>
      <c r="D34" s="46"/>
      <c r="E34" s="306"/>
      <c r="F34" s="324"/>
      <c r="G34" s="53"/>
      <c r="H34" s="11">
        <f>(50*50)/100</f>
        <v>25</v>
      </c>
      <c r="I34" s="48"/>
      <c r="J34" s="306"/>
      <c r="K34" s="310"/>
      <c r="L34" s="63"/>
      <c r="M34" s="66">
        <f t="shared" si="1"/>
        <v>10.5</v>
      </c>
      <c r="N34" s="68"/>
      <c r="O34" s="322"/>
      <c r="P34" s="421"/>
    </row>
    <row r="35" spans="1:16" ht="27.75" hidden="1" customHeight="1">
      <c r="B35" s="79" t="s">
        <v>40</v>
      </c>
      <c r="C35" s="34">
        <v>58</v>
      </c>
      <c r="D35" s="44"/>
      <c r="E35" s="320">
        <f>SUM(C35:C44)/10</f>
        <v>49.3</v>
      </c>
      <c r="F35" s="324"/>
      <c r="G35" s="53"/>
      <c r="H35" s="11">
        <f>(85*50)/100</f>
        <v>42.5</v>
      </c>
      <c r="I35" s="49"/>
      <c r="J35" s="320">
        <f>SUM(H35:H44)/10</f>
        <v>35.35</v>
      </c>
      <c r="K35" s="308"/>
      <c r="L35" s="63"/>
      <c r="M35" s="66">
        <f t="shared" si="1"/>
        <v>25.125</v>
      </c>
      <c r="N35" s="67"/>
      <c r="O35" s="322">
        <f>SUM(M35:M44)/10</f>
        <v>21.162500000000001</v>
      </c>
      <c r="P35" s="323"/>
    </row>
    <row r="36" spans="1:16" ht="15.95" hidden="1" customHeight="1">
      <c r="B36" s="79" t="s">
        <v>41</v>
      </c>
      <c r="C36" s="34">
        <v>100</v>
      </c>
      <c r="D36" s="45"/>
      <c r="E36" s="320"/>
      <c r="F36" s="324"/>
      <c r="G36" s="53"/>
      <c r="H36" s="11">
        <f>(75*50)/100</f>
        <v>37.5</v>
      </c>
      <c r="I36" s="49"/>
      <c r="J36" s="320"/>
      <c r="K36" s="309"/>
      <c r="L36" s="63"/>
      <c r="M36" s="66">
        <f t="shared" si="1"/>
        <v>34.375</v>
      </c>
      <c r="N36" s="67"/>
      <c r="O36" s="322"/>
      <c r="P36" s="323"/>
    </row>
    <row r="37" spans="1:16" ht="26.25" hidden="1" customHeight="1">
      <c r="B37" s="79" t="s">
        <v>42</v>
      </c>
      <c r="C37" s="34">
        <v>33</v>
      </c>
      <c r="D37" s="46"/>
      <c r="E37" s="320"/>
      <c r="F37" s="324"/>
      <c r="G37" s="53"/>
      <c r="H37" s="11">
        <f>(117*50)/100</f>
        <v>58.5</v>
      </c>
      <c r="I37" s="47"/>
      <c r="J37" s="320"/>
      <c r="K37" s="309"/>
      <c r="L37" s="63"/>
      <c r="M37" s="66">
        <f t="shared" si="1"/>
        <v>22.875</v>
      </c>
      <c r="N37" s="67"/>
      <c r="O37" s="322"/>
      <c r="P37" s="323"/>
    </row>
    <row r="38" spans="1:16" ht="15.95" hidden="1" customHeight="1">
      <c r="B38" s="79" t="s">
        <v>43</v>
      </c>
      <c r="C38" s="34">
        <v>0</v>
      </c>
      <c r="D38" s="46"/>
      <c r="E38" s="320"/>
      <c r="F38" s="324"/>
      <c r="G38" s="53"/>
      <c r="H38" s="11">
        <v>0</v>
      </c>
      <c r="I38" s="48"/>
      <c r="J38" s="320"/>
      <c r="K38" s="309"/>
      <c r="L38" s="63"/>
      <c r="M38" s="66">
        <f t="shared" si="1"/>
        <v>0</v>
      </c>
      <c r="N38" s="68"/>
      <c r="O38" s="322"/>
      <c r="P38" s="323"/>
    </row>
    <row r="39" spans="1:16" ht="27" hidden="1" customHeight="1">
      <c r="B39" s="79" t="s">
        <v>44</v>
      </c>
      <c r="C39" s="34">
        <v>67</v>
      </c>
      <c r="D39" s="44"/>
      <c r="E39" s="320"/>
      <c r="F39" s="324"/>
      <c r="G39" s="53"/>
      <c r="H39" s="11">
        <f>(100*50)/100</f>
        <v>50</v>
      </c>
      <c r="I39" s="47"/>
      <c r="J39" s="320"/>
      <c r="K39" s="309"/>
      <c r="L39" s="63"/>
      <c r="M39" s="66">
        <f t="shared" si="1"/>
        <v>29.25</v>
      </c>
      <c r="N39" s="67"/>
      <c r="O39" s="322"/>
      <c r="P39" s="323"/>
    </row>
    <row r="40" spans="1:16" ht="15.95" hidden="1" customHeight="1">
      <c r="B40" s="77" t="s">
        <v>45</v>
      </c>
      <c r="C40" s="34">
        <v>60</v>
      </c>
      <c r="D40" s="44"/>
      <c r="E40" s="320"/>
      <c r="F40" s="324"/>
      <c r="G40" s="53"/>
      <c r="H40" s="11">
        <f>(50*50)/100</f>
        <v>25</v>
      </c>
      <c r="I40" s="48"/>
      <c r="J40" s="320"/>
      <c r="K40" s="309"/>
      <c r="L40" s="63"/>
      <c r="M40" s="66">
        <f t="shared" si="1"/>
        <v>21.25</v>
      </c>
      <c r="N40" s="67"/>
      <c r="O40" s="322"/>
      <c r="P40" s="323"/>
    </row>
    <row r="41" spans="1:16" ht="30" hidden="1" customHeight="1">
      <c r="B41" s="79" t="s">
        <v>46</v>
      </c>
      <c r="C41" s="34">
        <v>0</v>
      </c>
      <c r="D41" s="46"/>
      <c r="E41" s="320"/>
      <c r="F41" s="324"/>
      <c r="G41" s="53"/>
      <c r="H41" s="11">
        <f>(50*50)/100</f>
        <v>25</v>
      </c>
      <c r="I41" s="48"/>
      <c r="J41" s="320"/>
      <c r="K41" s="309"/>
      <c r="L41" s="63"/>
      <c r="M41" s="66">
        <f t="shared" si="1"/>
        <v>6.25</v>
      </c>
      <c r="N41" s="68"/>
      <c r="O41" s="322"/>
      <c r="P41" s="323"/>
    </row>
    <row r="42" spans="1:16" ht="15.95" hidden="1" customHeight="1">
      <c r="B42" s="79" t="s">
        <v>47</v>
      </c>
      <c r="C42" s="34">
        <v>0</v>
      </c>
      <c r="D42" s="46"/>
      <c r="E42" s="320"/>
      <c r="F42" s="324"/>
      <c r="G42" s="53"/>
      <c r="H42" s="11">
        <v>0</v>
      </c>
      <c r="I42" s="48"/>
      <c r="J42" s="320"/>
      <c r="K42" s="309"/>
      <c r="L42" s="63"/>
      <c r="M42" s="66">
        <f t="shared" si="1"/>
        <v>0</v>
      </c>
      <c r="N42" s="68"/>
      <c r="O42" s="322"/>
      <c r="P42" s="323"/>
    </row>
    <row r="43" spans="1:16" ht="15.95" hidden="1" customHeight="1">
      <c r="B43" s="79" t="s">
        <v>48</v>
      </c>
      <c r="C43" s="34">
        <v>100</v>
      </c>
      <c r="D43" s="45"/>
      <c r="E43" s="320"/>
      <c r="F43" s="324"/>
      <c r="G43" s="53"/>
      <c r="H43" s="11">
        <f>(80*50)/100</f>
        <v>40</v>
      </c>
      <c r="I43" s="49"/>
      <c r="J43" s="320"/>
      <c r="K43" s="309"/>
      <c r="L43" s="63"/>
      <c r="M43" s="66">
        <f t="shared" si="1"/>
        <v>35</v>
      </c>
      <c r="N43" s="67"/>
      <c r="O43" s="322"/>
      <c r="P43" s="323"/>
    </row>
    <row r="44" spans="1:16" ht="15.95" hidden="1" customHeight="1">
      <c r="B44" s="79" t="s">
        <v>49</v>
      </c>
      <c r="C44" s="34">
        <v>75</v>
      </c>
      <c r="D44" s="44"/>
      <c r="E44" s="320"/>
      <c r="F44" s="324"/>
      <c r="G44" s="53"/>
      <c r="H44" s="11">
        <f>(150*50)/100</f>
        <v>75</v>
      </c>
      <c r="I44" s="47"/>
      <c r="J44" s="320"/>
      <c r="K44" s="310"/>
      <c r="L44" s="63"/>
      <c r="M44" s="66">
        <f t="shared" si="1"/>
        <v>37.5</v>
      </c>
      <c r="N44" s="65"/>
      <c r="O44" s="322"/>
      <c r="P44" s="323"/>
    </row>
    <row r="45" spans="1:16" hidden="1">
      <c r="B45" s="39"/>
      <c r="C45" s="359">
        <f>(E6+E7+E11+E13+E17+E29+E35)/7</f>
        <v>68.209523809523802</v>
      </c>
      <c r="D45" s="360"/>
      <c r="E45" s="361"/>
      <c r="F45" s="36"/>
      <c r="G45" s="53"/>
      <c r="H45" s="359">
        <f>(J6+J7+J11+J13+J17+J29+J35)/7</f>
        <v>42.288095238095245</v>
      </c>
      <c r="I45" s="360"/>
      <c r="J45" s="361"/>
      <c r="K45" s="49"/>
      <c r="L45" s="63"/>
      <c r="M45" s="359">
        <f>(O6+O7+O11+O13+O17+O29+O35)/7</f>
        <v>27.62440476190476</v>
      </c>
      <c r="N45" s="360"/>
      <c r="O45" s="361"/>
      <c r="P45" s="7"/>
    </row>
    <row r="46" spans="1:16" ht="17.25" customHeight="1">
      <c r="A46" s="422" t="s">
        <v>71</v>
      </c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</row>
    <row r="47" spans="1:16" ht="17.25" customHeight="1">
      <c r="A47" s="422" t="s">
        <v>79</v>
      </c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</row>
    <row r="48" spans="1:16">
      <c r="B48" s="80"/>
      <c r="C48" s="81"/>
      <c r="D48" s="81"/>
      <c r="E48" s="81"/>
      <c r="F48" s="82"/>
      <c r="G48" s="53"/>
      <c r="H48" s="81"/>
      <c r="I48" s="81"/>
      <c r="J48" s="81"/>
      <c r="K48" s="63"/>
      <c r="L48" s="63"/>
      <c r="M48" s="81"/>
      <c r="N48" s="81"/>
      <c r="O48" s="81"/>
      <c r="P48" s="83"/>
    </row>
    <row r="49" spans="1:16" ht="18" customHeight="1">
      <c r="A49" s="342" t="s">
        <v>65</v>
      </c>
      <c r="B49" s="342" t="s">
        <v>64</v>
      </c>
      <c r="C49" s="325">
        <v>2016</v>
      </c>
      <c r="D49" s="325"/>
      <c r="E49" s="325"/>
      <c r="F49" s="325"/>
      <c r="G49" s="52"/>
      <c r="H49" s="325">
        <v>2017</v>
      </c>
      <c r="I49" s="325"/>
      <c r="J49" s="325"/>
      <c r="K49" s="325"/>
      <c r="L49" s="62"/>
      <c r="M49" s="326" t="s">
        <v>61</v>
      </c>
      <c r="N49" s="326"/>
      <c r="O49" s="326"/>
      <c r="P49" s="326"/>
    </row>
    <row r="50" spans="1:16" s="17" customFormat="1" ht="43.5" customHeight="1">
      <c r="A50" s="342"/>
      <c r="B50" s="342"/>
      <c r="C50" s="43" t="s">
        <v>58</v>
      </c>
      <c r="D50" s="43"/>
      <c r="E50" s="43" t="s">
        <v>58</v>
      </c>
      <c r="F50" s="43"/>
      <c r="G50" s="53"/>
      <c r="H50" s="43" t="s">
        <v>58</v>
      </c>
      <c r="I50" s="43"/>
      <c r="J50" s="43" t="s">
        <v>58</v>
      </c>
      <c r="K50" s="43"/>
      <c r="L50" s="54"/>
      <c r="M50" s="70" t="s">
        <v>62</v>
      </c>
      <c r="N50" s="53"/>
      <c r="O50" s="71" t="s">
        <v>60</v>
      </c>
      <c r="P50" s="72"/>
    </row>
    <row r="52" spans="1:16" ht="15.95" customHeight="1">
      <c r="A52" s="428" t="s">
        <v>66</v>
      </c>
      <c r="B52" s="74" t="s">
        <v>4</v>
      </c>
      <c r="C52" s="34">
        <v>86</v>
      </c>
      <c r="D52" s="44"/>
      <c r="E52" s="429">
        <f>SUM(C52:C57)/6</f>
        <v>78.833333333333329</v>
      </c>
      <c r="F52" s="423"/>
      <c r="G52" s="53"/>
      <c r="H52" s="11">
        <v>111</v>
      </c>
      <c r="I52" s="47"/>
      <c r="J52" s="429">
        <f>SUM(H52:H57)/6</f>
        <v>95.166666666666671</v>
      </c>
      <c r="K52" s="423"/>
      <c r="L52" s="64"/>
      <c r="M52" s="66">
        <f t="shared" ref="M52:M57" si="2">((C52+H52)*50/200)</f>
        <v>49.25</v>
      </c>
      <c r="N52" s="67"/>
      <c r="O52" s="424">
        <f>SUM(M52:M57)/6</f>
        <v>43.5</v>
      </c>
      <c r="P52" s="292"/>
    </row>
    <row r="53" spans="1:16" ht="27" customHeight="1">
      <c r="A53" s="428"/>
      <c r="B53" s="74" t="s">
        <v>16</v>
      </c>
      <c r="C53" s="34">
        <v>71</v>
      </c>
      <c r="D53" s="44"/>
      <c r="E53" s="429"/>
      <c r="F53" s="423"/>
      <c r="G53" s="53"/>
      <c r="H53" s="11">
        <v>104</v>
      </c>
      <c r="I53" s="47"/>
      <c r="J53" s="429"/>
      <c r="K53" s="423"/>
      <c r="L53" s="64"/>
      <c r="M53" s="66">
        <f t="shared" si="2"/>
        <v>43.75</v>
      </c>
      <c r="N53" s="67"/>
      <c r="O53" s="424"/>
      <c r="P53" s="292"/>
    </row>
    <row r="54" spans="1:16" ht="15.95" customHeight="1">
      <c r="A54" s="428"/>
      <c r="B54" s="74" t="s">
        <v>17</v>
      </c>
      <c r="C54" s="34">
        <v>50</v>
      </c>
      <c r="D54" s="44"/>
      <c r="E54" s="429"/>
      <c r="F54" s="423"/>
      <c r="G54" s="53"/>
      <c r="H54" s="11">
        <v>89</v>
      </c>
      <c r="I54" s="145"/>
      <c r="J54" s="429"/>
      <c r="K54" s="423"/>
      <c r="L54" s="64"/>
      <c r="M54" s="66">
        <f t="shared" si="2"/>
        <v>34.75</v>
      </c>
      <c r="N54" s="67"/>
      <c r="O54" s="424"/>
      <c r="P54" s="292"/>
    </row>
    <row r="55" spans="1:16" ht="15.95" customHeight="1">
      <c r="A55" s="428"/>
      <c r="B55" s="74" t="s">
        <v>21</v>
      </c>
      <c r="C55" s="34">
        <v>77</v>
      </c>
      <c r="D55" s="44"/>
      <c r="E55" s="429"/>
      <c r="F55" s="423"/>
      <c r="G55" s="53"/>
      <c r="H55" s="11">
        <v>76</v>
      </c>
      <c r="I55" s="49"/>
      <c r="J55" s="429"/>
      <c r="K55" s="423"/>
      <c r="L55" s="63"/>
      <c r="M55" s="66">
        <f t="shared" si="2"/>
        <v>38.25</v>
      </c>
      <c r="N55" s="67"/>
      <c r="O55" s="424"/>
      <c r="P55" s="292"/>
    </row>
    <row r="56" spans="1:16" ht="15.95" customHeight="1">
      <c r="A56" s="428"/>
      <c r="B56" s="74" t="s">
        <v>24</v>
      </c>
      <c r="C56" s="34">
        <v>89</v>
      </c>
      <c r="D56" s="44"/>
      <c r="E56" s="429"/>
      <c r="F56" s="423"/>
      <c r="G56" s="53"/>
      <c r="H56" s="11">
        <v>94</v>
      </c>
      <c r="I56" s="49"/>
      <c r="J56" s="429"/>
      <c r="K56" s="423"/>
      <c r="L56" s="63"/>
      <c r="M56" s="66">
        <f t="shared" si="2"/>
        <v>45.75</v>
      </c>
      <c r="N56" s="67"/>
      <c r="O56" s="424"/>
      <c r="P56" s="292"/>
    </row>
    <row r="57" spans="1:16" ht="15.95" customHeight="1">
      <c r="A57" s="428"/>
      <c r="B57" s="74" t="s">
        <v>25</v>
      </c>
      <c r="C57" s="34">
        <v>100</v>
      </c>
      <c r="D57" s="45"/>
      <c r="E57" s="429"/>
      <c r="F57" s="423"/>
      <c r="G57" s="53"/>
      <c r="H57" s="11">
        <v>97</v>
      </c>
      <c r="I57" s="49"/>
      <c r="J57" s="429"/>
      <c r="K57" s="423"/>
      <c r="L57" s="63"/>
      <c r="M57" s="66">
        <f t="shared" si="2"/>
        <v>49.25</v>
      </c>
      <c r="N57" s="67"/>
      <c r="O57" s="424"/>
      <c r="P57" s="292"/>
    </row>
    <row r="58" spans="1:16" ht="13.5" customHeight="1">
      <c r="A58" s="365"/>
      <c r="B58" s="366"/>
      <c r="C58" s="366"/>
      <c r="D58" s="366"/>
      <c r="E58" s="366"/>
      <c r="F58" s="366"/>
      <c r="G58" s="53"/>
      <c r="H58" s="425"/>
      <c r="I58" s="426"/>
      <c r="J58" s="426"/>
      <c r="K58" s="426"/>
      <c r="L58" s="63"/>
      <c r="M58" s="427"/>
      <c r="N58" s="357"/>
      <c r="O58" s="357"/>
      <c r="P58" s="357"/>
    </row>
    <row r="59" spans="1:16" ht="15.95" customHeight="1">
      <c r="A59" s="436" t="s">
        <v>67</v>
      </c>
      <c r="B59" s="77" t="s">
        <v>5</v>
      </c>
      <c r="C59" s="34">
        <v>72</v>
      </c>
      <c r="D59" s="44"/>
      <c r="E59" s="429">
        <f>SUM(C59:C71)/13</f>
        <v>59.153846153846153</v>
      </c>
      <c r="F59" s="423"/>
      <c r="G59" s="53"/>
      <c r="H59" s="11">
        <v>100</v>
      </c>
      <c r="I59" s="47"/>
      <c r="J59" s="429">
        <f>SUM(H59:H71)/13</f>
        <v>74.538461538461533</v>
      </c>
      <c r="K59" s="423"/>
      <c r="L59" s="64"/>
      <c r="M59" s="66">
        <f t="shared" ref="M59:M71" si="3">((C59+H59)*50/200)</f>
        <v>43</v>
      </c>
      <c r="N59" s="67"/>
      <c r="O59" s="424">
        <f>SUM(M59:M71)/13</f>
        <v>33.42307692307692</v>
      </c>
      <c r="P59" s="292"/>
    </row>
    <row r="60" spans="1:16" ht="15.95" customHeight="1">
      <c r="A60" s="436"/>
      <c r="B60" s="77" t="s">
        <v>6</v>
      </c>
      <c r="C60" s="34">
        <v>59</v>
      </c>
      <c r="D60" s="44"/>
      <c r="E60" s="429"/>
      <c r="F60" s="423"/>
      <c r="G60" s="53"/>
      <c r="H60" s="11">
        <v>77</v>
      </c>
      <c r="I60" s="145"/>
      <c r="J60" s="429"/>
      <c r="K60" s="423"/>
      <c r="L60" s="64"/>
      <c r="M60" s="66">
        <f t="shared" si="3"/>
        <v>34</v>
      </c>
      <c r="N60" s="67"/>
      <c r="O60" s="424"/>
      <c r="P60" s="292"/>
    </row>
    <row r="61" spans="1:16" ht="27.75" customHeight="1">
      <c r="A61" s="436"/>
      <c r="B61" s="77" t="s">
        <v>7</v>
      </c>
      <c r="C61" s="34">
        <v>67</v>
      </c>
      <c r="D61" s="44"/>
      <c r="E61" s="429"/>
      <c r="F61" s="423"/>
      <c r="G61" s="53"/>
      <c r="H61" s="11">
        <v>58</v>
      </c>
      <c r="I61" s="49"/>
      <c r="J61" s="429"/>
      <c r="K61" s="423"/>
      <c r="L61" s="64"/>
      <c r="M61" s="66">
        <f t="shared" si="3"/>
        <v>31.25</v>
      </c>
      <c r="N61" s="67"/>
      <c r="O61" s="424"/>
      <c r="P61" s="292"/>
    </row>
    <row r="62" spans="1:16" ht="15.95" customHeight="1">
      <c r="A62" s="436"/>
      <c r="B62" s="77" t="s">
        <v>13</v>
      </c>
      <c r="C62" s="34">
        <v>100</v>
      </c>
      <c r="D62" s="45"/>
      <c r="E62" s="429"/>
      <c r="F62" s="423"/>
      <c r="G62" s="53"/>
      <c r="H62" s="11">
        <v>100</v>
      </c>
      <c r="I62" s="47"/>
      <c r="J62" s="429"/>
      <c r="K62" s="423"/>
      <c r="L62" s="64"/>
      <c r="M62" s="66">
        <f t="shared" si="3"/>
        <v>50</v>
      </c>
      <c r="N62" s="12"/>
      <c r="O62" s="424"/>
      <c r="P62" s="292"/>
    </row>
    <row r="63" spans="1:16" ht="27" customHeight="1">
      <c r="A63" s="436"/>
      <c r="B63" s="77" t="s">
        <v>15</v>
      </c>
      <c r="C63" s="34">
        <v>54</v>
      </c>
      <c r="D63" s="44"/>
      <c r="E63" s="429"/>
      <c r="F63" s="423"/>
      <c r="G63" s="53"/>
      <c r="H63" s="11">
        <v>83</v>
      </c>
      <c r="I63" s="145"/>
      <c r="J63" s="429"/>
      <c r="K63" s="423"/>
      <c r="L63" s="64"/>
      <c r="M63" s="66">
        <f t="shared" si="3"/>
        <v>34.25</v>
      </c>
      <c r="N63" s="67"/>
      <c r="O63" s="424"/>
      <c r="P63" s="292"/>
    </row>
    <row r="64" spans="1:16" ht="15.95" customHeight="1">
      <c r="A64" s="436"/>
      <c r="B64" s="77" t="s">
        <v>18</v>
      </c>
      <c r="C64" s="34">
        <v>66</v>
      </c>
      <c r="D64" s="44"/>
      <c r="E64" s="429"/>
      <c r="F64" s="423"/>
      <c r="G64" s="53"/>
      <c r="H64" s="11">
        <v>60</v>
      </c>
      <c r="I64" s="145"/>
      <c r="J64" s="429"/>
      <c r="K64" s="423"/>
      <c r="L64" s="64"/>
      <c r="M64" s="66">
        <f t="shared" si="3"/>
        <v>31.5</v>
      </c>
      <c r="N64" s="147"/>
      <c r="O64" s="424"/>
      <c r="P64" s="292"/>
    </row>
    <row r="65" spans="1:16" ht="15.95" customHeight="1">
      <c r="A65" s="436"/>
      <c r="B65" s="77" t="s">
        <v>28</v>
      </c>
      <c r="C65" s="34">
        <v>7</v>
      </c>
      <c r="D65" s="46"/>
      <c r="E65" s="429"/>
      <c r="F65" s="423"/>
      <c r="G65" s="53"/>
      <c r="H65" s="11">
        <v>101</v>
      </c>
      <c r="I65" s="47"/>
      <c r="J65" s="429"/>
      <c r="K65" s="423"/>
      <c r="L65" s="63"/>
      <c r="M65" s="66">
        <f t="shared" si="3"/>
        <v>27</v>
      </c>
      <c r="N65" s="68"/>
      <c r="O65" s="424"/>
      <c r="P65" s="292"/>
    </row>
    <row r="66" spans="1:16" ht="15.95" customHeight="1">
      <c r="A66" s="436"/>
      <c r="B66" s="77" t="s">
        <v>29</v>
      </c>
      <c r="C66" s="34">
        <v>100</v>
      </c>
      <c r="D66" s="45"/>
      <c r="E66" s="429"/>
      <c r="F66" s="423"/>
      <c r="G66" s="53"/>
      <c r="H66" s="11">
        <v>71</v>
      </c>
      <c r="I66" s="49"/>
      <c r="J66" s="429"/>
      <c r="K66" s="423"/>
      <c r="L66" s="63"/>
      <c r="M66" s="66">
        <f t="shared" si="3"/>
        <v>42.75</v>
      </c>
      <c r="N66" s="67"/>
      <c r="O66" s="424"/>
      <c r="P66" s="292"/>
    </row>
    <row r="67" spans="1:16" ht="15.95" customHeight="1">
      <c r="A67" s="436"/>
      <c r="B67" s="77" t="s">
        <v>30</v>
      </c>
      <c r="C67" s="34">
        <v>67</v>
      </c>
      <c r="D67" s="44"/>
      <c r="E67" s="429"/>
      <c r="F67" s="423"/>
      <c r="G67" s="53"/>
      <c r="H67" s="11">
        <v>81</v>
      </c>
      <c r="I67" s="49"/>
      <c r="J67" s="429"/>
      <c r="K67" s="423"/>
      <c r="L67" s="63"/>
      <c r="M67" s="66">
        <f t="shared" si="3"/>
        <v>37</v>
      </c>
      <c r="N67" s="67"/>
      <c r="O67" s="424"/>
      <c r="P67" s="292"/>
    </row>
    <row r="68" spans="1:16" ht="15.95" customHeight="1">
      <c r="A68" s="436"/>
      <c r="B68" s="77" t="s">
        <v>31</v>
      </c>
      <c r="C68" s="34">
        <v>86</v>
      </c>
      <c r="D68" s="44"/>
      <c r="E68" s="429"/>
      <c r="F68" s="423"/>
      <c r="G68" s="53"/>
      <c r="H68" s="11">
        <v>92</v>
      </c>
      <c r="I68" s="145"/>
      <c r="J68" s="429"/>
      <c r="K68" s="423"/>
      <c r="L68" s="63"/>
      <c r="M68" s="66">
        <f t="shared" si="3"/>
        <v>44.5</v>
      </c>
      <c r="N68" s="67"/>
      <c r="O68" s="424"/>
      <c r="P68" s="292"/>
    </row>
    <row r="69" spans="1:16" ht="15.95" customHeight="1">
      <c r="A69" s="436"/>
      <c r="B69" s="77" t="s">
        <v>33</v>
      </c>
      <c r="C69" s="34">
        <v>14</v>
      </c>
      <c r="D69" s="46"/>
      <c r="E69" s="429"/>
      <c r="F69" s="423"/>
      <c r="G69" s="53"/>
      <c r="H69" s="11">
        <v>43</v>
      </c>
      <c r="I69" s="48"/>
      <c r="J69" s="429"/>
      <c r="K69" s="423"/>
      <c r="L69" s="63"/>
      <c r="M69" s="66">
        <f t="shared" si="3"/>
        <v>14.25</v>
      </c>
      <c r="N69" s="68"/>
      <c r="O69" s="424"/>
      <c r="P69" s="292"/>
    </row>
    <row r="70" spans="1:16" ht="15.95" customHeight="1">
      <c r="A70" s="436"/>
      <c r="B70" s="77" t="s">
        <v>38</v>
      </c>
      <c r="C70" s="34">
        <v>17</v>
      </c>
      <c r="D70" s="46"/>
      <c r="E70" s="429"/>
      <c r="F70" s="423"/>
      <c r="G70" s="53"/>
      <c r="H70" s="11">
        <v>50</v>
      </c>
      <c r="I70" s="48"/>
      <c r="J70" s="429"/>
      <c r="K70" s="423"/>
      <c r="L70" s="63"/>
      <c r="M70" s="66">
        <f t="shared" si="3"/>
        <v>16.75</v>
      </c>
      <c r="N70" s="68"/>
      <c r="O70" s="424"/>
      <c r="P70" s="292"/>
    </row>
    <row r="71" spans="1:16" ht="15.95" customHeight="1">
      <c r="A71" s="436"/>
      <c r="B71" s="77" t="s">
        <v>45</v>
      </c>
      <c r="C71" s="34">
        <v>60</v>
      </c>
      <c r="D71" s="44"/>
      <c r="E71" s="429"/>
      <c r="F71" s="423"/>
      <c r="G71" s="53"/>
      <c r="H71" s="11">
        <v>53</v>
      </c>
      <c r="I71" s="145"/>
      <c r="J71" s="429"/>
      <c r="K71" s="423"/>
      <c r="L71" s="63"/>
      <c r="M71" s="66">
        <f t="shared" si="3"/>
        <v>28.25</v>
      </c>
      <c r="N71" s="68"/>
      <c r="O71" s="424"/>
      <c r="P71" s="292"/>
    </row>
    <row r="72" spans="1:16" ht="12" customHeight="1">
      <c r="A72" s="430"/>
      <c r="B72" s="431"/>
      <c r="C72" s="431"/>
      <c r="D72" s="431"/>
      <c r="E72" s="431"/>
      <c r="F72" s="431"/>
      <c r="G72" s="53"/>
      <c r="H72" s="432"/>
      <c r="I72" s="433"/>
      <c r="J72" s="433"/>
      <c r="K72" s="433"/>
      <c r="L72" s="63"/>
      <c r="M72" s="434"/>
      <c r="N72" s="435"/>
      <c r="O72" s="435"/>
      <c r="P72" s="435"/>
    </row>
    <row r="73" spans="1:16" ht="15.95" customHeight="1">
      <c r="A73" s="440" t="s">
        <v>68</v>
      </c>
      <c r="B73" s="75" t="s">
        <v>63</v>
      </c>
      <c r="C73" s="34">
        <v>100</v>
      </c>
      <c r="D73" s="45"/>
      <c r="E73" s="320">
        <f>SUM(C73:C81)/9</f>
        <v>71.666666666666671</v>
      </c>
      <c r="F73" s="323"/>
      <c r="G73" s="53"/>
      <c r="H73" s="11">
        <v>100</v>
      </c>
      <c r="I73" s="47"/>
      <c r="J73" s="441">
        <f>SUM(H73:H81)/9</f>
        <v>95.777777777777771</v>
      </c>
      <c r="K73" s="423"/>
      <c r="L73" s="63"/>
      <c r="M73" s="40">
        <f>((C73+H73)*50)/200</f>
        <v>50</v>
      </c>
      <c r="N73" s="65"/>
      <c r="O73" s="437">
        <f>SUM(M73:M81)/9</f>
        <v>41.861111111111114</v>
      </c>
      <c r="P73" s="292"/>
    </row>
    <row r="74" spans="1:16" ht="15.95" customHeight="1">
      <c r="A74" s="440"/>
      <c r="B74" s="76" t="s">
        <v>12</v>
      </c>
      <c r="C74" s="34">
        <v>100</v>
      </c>
      <c r="D74" s="45"/>
      <c r="E74" s="320"/>
      <c r="F74" s="323"/>
      <c r="G74" s="53"/>
      <c r="H74" s="11">
        <v>100</v>
      </c>
      <c r="I74" s="47"/>
      <c r="J74" s="441"/>
      <c r="K74" s="423"/>
      <c r="L74" s="64"/>
      <c r="M74" s="66">
        <f t="shared" ref="M74:M81" si="4">((C74+H74)*50/200)</f>
        <v>50</v>
      </c>
      <c r="N74" s="12"/>
      <c r="O74" s="437"/>
      <c r="P74" s="292"/>
    </row>
    <row r="75" spans="1:16" ht="15.95" customHeight="1">
      <c r="A75" s="440"/>
      <c r="B75" s="76" t="s">
        <v>20</v>
      </c>
      <c r="C75" s="34">
        <v>56</v>
      </c>
      <c r="D75" s="44"/>
      <c r="E75" s="320"/>
      <c r="F75" s="323"/>
      <c r="G75" s="53"/>
      <c r="H75" s="11">
        <v>114</v>
      </c>
      <c r="I75" s="47"/>
      <c r="J75" s="441"/>
      <c r="K75" s="423"/>
      <c r="L75" s="63"/>
      <c r="M75" s="66">
        <f t="shared" si="4"/>
        <v>42.5</v>
      </c>
      <c r="N75" s="67"/>
      <c r="O75" s="437"/>
      <c r="P75" s="292"/>
    </row>
    <row r="76" spans="1:16" ht="15.95" customHeight="1">
      <c r="A76" s="440"/>
      <c r="B76" s="76" t="s">
        <v>22</v>
      </c>
      <c r="C76" s="34">
        <v>100</v>
      </c>
      <c r="D76" s="45"/>
      <c r="E76" s="320"/>
      <c r="F76" s="323"/>
      <c r="G76" s="53"/>
      <c r="H76" s="11">
        <v>100</v>
      </c>
      <c r="I76" s="47"/>
      <c r="J76" s="441"/>
      <c r="K76" s="423"/>
      <c r="L76" s="63"/>
      <c r="M76" s="66">
        <f t="shared" si="4"/>
        <v>50</v>
      </c>
      <c r="N76" s="65"/>
      <c r="O76" s="437"/>
      <c r="P76" s="292"/>
    </row>
    <row r="77" spans="1:16" ht="15.95" customHeight="1">
      <c r="A77" s="440"/>
      <c r="B77" s="76" t="s">
        <v>23</v>
      </c>
      <c r="C77" s="34">
        <v>50</v>
      </c>
      <c r="D77" s="44"/>
      <c r="E77" s="320"/>
      <c r="F77" s="323"/>
      <c r="G77" s="53"/>
      <c r="H77" s="11">
        <v>100</v>
      </c>
      <c r="I77" s="47"/>
      <c r="J77" s="441"/>
      <c r="K77" s="423"/>
      <c r="L77" s="63"/>
      <c r="M77" s="66">
        <f t="shared" si="4"/>
        <v>37.5</v>
      </c>
      <c r="N77" s="67"/>
      <c r="O77" s="437"/>
      <c r="P77" s="292"/>
    </row>
    <row r="78" spans="1:16" ht="15.95" customHeight="1">
      <c r="A78" s="440"/>
      <c r="B78" s="76" t="s">
        <v>26</v>
      </c>
      <c r="C78" s="34">
        <v>97</v>
      </c>
      <c r="D78" s="44"/>
      <c r="E78" s="320"/>
      <c r="F78" s="323"/>
      <c r="G78" s="53"/>
      <c r="H78" s="11">
        <v>96</v>
      </c>
      <c r="I78" s="49"/>
      <c r="J78" s="441"/>
      <c r="K78" s="423"/>
      <c r="L78" s="63"/>
      <c r="M78" s="66">
        <f t="shared" si="4"/>
        <v>48.25</v>
      </c>
      <c r="N78" s="67"/>
      <c r="O78" s="437"/>
      <c r="P78" s="292"/>
    </row>
    <row r="79" spans="1:16" ht="24.75" customHeight="1">
      <c r="A79" s="440"/>
      <c r="B79" s="76" t="s">
        <v>27</v>
      </c>
      <c r="C79" s="34">
        <v>78</v>
      </c>
      <c r="D79" s="44"/>
      <c r="E79" s="320"/>
      <c r="F79" s="323"/>
      <c r="G79" s="53"/>
      <c r="H79" s="11">
        <v>98</v>
      </c>
      <c r="I79" s="49"/>
      <c r="J79" s="441"/>
      <c r="K79" s="423"/>
      <c r="L79" s="63"/>
      <c r="M79" s="66">
        <f t="shared" si="4"/>
        <v>44</v>
      </c>
      <c r="N79" s="67"/>
      <c r="O79" s="437"/>
      <c r="P79" s="292"/>
    </row>
    <row r="80" spans="1:16" ht="15.95" customHeight="1">
      <c r="A80" s="440"/>
      <c r="B80" s="76" t="s">
        <v>34</v>
      </c>
      <c r="C80" s="34">
        <v>54</v>
      </c>
      <c r="D80" s="44"/>
      <c r="E80" s="320"/>
      <c r="F80" s="323"/>
      <c r="G80" s="53"/>
      <c r="H80" s="11">
        <v>89</v>
      </c>
      <c r="I80" s="49"/>
      <c r="J80" s="441"/>
      <c r="K80" s="423"/>
      <c r="L80" s="63"/>
      <c r="M80" s="66">
        <f t="shared" si="4"/>
        <v>35.75</v>
      </c>
      <c r="N80" s="67"/>
      <c r="O80" s="437"/>
      <c r="P80" s="292"/>
    </row>
    <row r="81" spans="1:16" ht="27" customHeight="1">
      <c r="A81" s="440"/>
      <c r="B81" s="76" t="s">
        <v>37</v>
      </c>
      <c r="C81" s="34">
        <v>10</v>
      </c>
      <c r="D81" s="46"/>
      <c r="E81" s="320"/>
      <c r="F81" s="323"/>
      <c r="G81" s="53"/>
      <c r="H81" s="11">
        <v>65</v>
      </c>
      <c r="I81" s="145"/>
      <c r="J81" s="441"/>
      <c r="K81" s="423"/>
      <c r="L81" s="63"/>
      <c r="M81" s="66">
        <f t="shared" si="4"/>
        <v>18.75</v>
      </c>
      <c r="N81" s="68"/>
      <c r="O81" s="437"/>
      <c r="P81" s="292"/>
    </row>
    <row r="82" spans="1:16" ht="13.5" customHeight="1">
      <c r="A82" s="365"/>
      <c r="B82" s="366"/>
      <c r="C82" s="366"/>
      <c r="D82" s="366"/>
      <c r="E82" s="366"/>
      <c r="F82" s="366"/>
      <c r="G82" s="53"/>
      <c r="H82" s="425"/>
      <c r="I82" s="426"/>
      <c r="J82" s="426"/>
      <c r="K82" s="426"/>
      <c r="L82" s="63"/>
      <c r="M82" s="438"/>
      <c r="N82" s="439"/>
      <c r="O82" s="439"/>
      <c r="P82" s="439"/>
    </row>
    <row r="83" spans="1:16" ht="15.95" customHeight="1">
      <c r="A83" s="445" t="s">
        <v>69</v>
      </c>
      <c r="B83" s="79" t="s">
        <v>35</v>
      </c>
      <c r="C83" s="34">
        <v>8</v>
      </c>
      <c r="D83" s="46"/>
      <c r="E83" s="446">
        <f>SUM(C83:C92)/10</f>
        <v>44.1</v>
      </c>
      <c r="F83" s="324"/>
      <c r="G83" s="53"/>
      <c r="H83" s="11">
        <v>75</v>
      </c>
      <c r="I83" s="145"/>
      <c r="J83" s="441">
        <f>SUM(H83:H92)/10</f>
        <v>74.150000000000006</v>
      </c>
      <c r="K83" s="423"/>
      <c r="L83" s="63"/>
      <c r="M83" s="66">
        <f t="shared" ref="M83:M92" si="5">((C83+H83)*50/200)</f>
        <v>20.75</v>
      </c>
      <c r="N83" s="68"/>
      <c r="O83" s="437">
        <f>SUM(M83:M92)/10</f>
        <v>29.5625</v>
      </c>
      <c r="P83" s="292"/>
    </row>
    <row r="84" spans="1:16" ht="27.75" customHeight="1">
      <c r="A84" s="445"/>
      <c r="B84" s="79" t="s">
        <v>40</v>
      </c>
      <c r="C84" s="34">
        <v>58</v>
      </c>
      <c r="D84" s="44"/>
      <c r="E84" s="446"/>
      <c r="F84" s="324"/>
      <c r="G84" s="53"/>
      <c r="H84" s="11">
        <v>75</v>
      </c>
      <c r="I84" s="49"/>
      <c r="J84" s="441"/>
      <c r="K84" s="423"/>
      <c r="L84" s="63"/>
      <c r="M84" s="66">
        <f t="shared" si="5"/>
        <v>33.25</v>
      </c>
      <c r="N84" s="67"/>
      <c r="O84" s="437"/>
      <c r="P84" s="292"/>
    </row>
    <row r="85" spans="1:16" ht="15.95" customHeight="1">
      <c r="A85" s="445"/>
      <c r="B85" s="79" t="s">
        <v>41</v>
      </c>
      <c r="C85" s="34">
        <v>100</v>
      </c>
      <c r="D85" s="45"/>
      <c r="E85" s="446"/>
      <c r="F85" s="324"/>
      <c r="G85" s="53"/>
      <c r="H85" s="11">
        <v>100</v>
      </c>
      <c r="I85" s="47"/>
      <c r="J85" s="441"/>
      <c r="K85" s="423"/>
      <c r="L85" s="63"/>
      <c r="M85" s="66">
        <f t="shared" si="5"/>
        <v>50</v>
      </c>
      <c r="N85" s="65"/>
      <c r="O85" s="437"/>
      <c r="P85" s="292"/>
    </row>
    <row r="86" spans="1:16" ht="26.25" customHeight="1">
      <c r="A86" s="445"/>
      <c r="B86" s="79" t="s">
        <v>42</v>
      </c>
      <c r="C86" s="34">
        <v>33</v>
      </c>
      <c r="D86" s="46"/>
      <c r="E86" s="446"/>
      <c r="F86" s="324"/>
      <c r="G86" s="53"/>
      <c r="H86" s="11">
        <v>133.5</v>
      </c>
      <c r="I86" s="47"/>
      <c r="J86" s="441"/>
      <c r="K86" s="423"/>
      <c r="L86" s="63"/>
      <c r="M86" s="66">
        <f t="shared" si="5"/>
        <v>41.625</v>
      </c>
      <c r="N86" s="67"/>
      <c r="O86" s="437"/>
      <c r="P86" s="292"/>
    </row>
    <row r="87" spans="1:16" ht="15.95" customHeight="1">
      <c r="A87" s="445"/>
      <c r="B87" s="79" t="s">
        <v>43</v>
      </c>
      <c r="C87" s="34">
        <v>0</v>
      </c>
      <c r="D87" s="46"/>
      <c r="E87" s="446"/>
      <c r="F87" s="324"/>
      <c r="G87" s="53"/>
      <c r="H87" s="11">
        <v>0</v>
      </c>
      <c r="I87" s="48"/>
      <c r="J87" s="441"/>
      <c r="K87" s="423"/>
      <c r="L87" s="63"/>
      <c r="M87" s="66">
        <f t="shared" si="5"/>
        <v>0</v>
      </c>
      <c r="N87" s="68"/>
      <c r="O87" s="437"/>
      <c r="P87" s="292"/>
    </row>
    <row r="88" spans="1:16" ht="27" customHeight="1">
      <c r="A88" s="445"/>
      <c r="B88" s="79" t="s">
        <v>44</v>
      </c>
      <c r="C88" s="34">
        <v>67</v>
      </c>
      <c r="D88" s="44"/>
      <c r="E88" s="446"/>
      <c r="F88" s="324"/>
      <c r="G88" s="53"/>
      <c r="H88" s="11">
        <v>83</v>
      </c>
      <c r="I88" s="145"/>
      <c r="J88" s="441"/>
      <c r="K88" s="423"/>
      <c r="L88" s="63"/>
      <c r="M88" s="66">
        <f t="shared" si="5"/>
        <v>37.5</v>
      </c>
      <c r="N88" s="67"/>
      <c r="O88" s="437"/>
      <c r="P88" s="292"/>
    </row>
    <row r="89" spans="1:16" ht="30" customHeight="1">
      <c r="A89" s="445"/>
      <c r="B89" s="79" t="s">
        <v>46</v>
      </c>
      <c r="C89" s="34">
        <v>0</v>
      </c>
      <c r="D89" s="46"/>
      <c r="E89" s="446"/>
      <c r="F89" s="324"/>
      <c r="G89" s="53"/>
      <c r="H89" s="11">
        <v>90</v>
      </c>
      <c r="I89" s="145"/>
      <c r="J89" s="441"/>
      <c r="K89" s="423"/>
      <c r="L89" s="63"/>
      <c r="M89" s="66">
        <f t="shared" si="5"/>
        <v>22.5</v>
      </c>
      <c r="N89" s="68"/>
      <c r="O89" s="437"/>
      <c r="P89" s="292"/>
    </row>
    <row r="90" spans="1:16" ht="15.95" customHeight="1">
      <c r="A90" s="445"/>
      <c r="B90" s="79" t="s">
        <v>47</v>
      </c>
      <c r="C90" s="34">
        <v>0</v>
      </c>
      <c r="D90" s="46"/>
      <c r="E90" s="446"/>
      <c r="F90" s="324"/>
      <c r="G90" s="53"/>
      <c r="H90" s="11">
        <v>0</v>
      </c>
      <c r="I90" s="48"/>
      <c r="J90" s="441"/>
      <c r="K90" s="423"/>
      <c r="L90" s="63"/>
      <c r="M90" s="66">
        <f t="shared" si="5"/>
        <v>0</v>
      </c>
      <c r="N90" s="68"/>
      <c r="O90" s="437"/>
      <c r="P90" s="292"/>
    </row>
    <row r="91" spans="1:16" ht="15.95" customHeight="1">
      <c r="A91" s="445"/>
      <c r="B91" s="79" t="s">
        <v>48</v>
      </c>
      <c r="C91" s="34">
        <v>100</v>
      </c>
      <c r="D91" s="45"/>
      <c r="E91" s="446"/>
      <c r="F91" s="324"/>
      <c r="G91" s="53"/>
      <c r="H91" s="11">
        <v>102</v>
      </c>
      <c r="I91" s="47"/>
      <c r="J91" s="441"/>
      <c r="K91" s="423"/>
      <c r="L91" s="63"/>
      <c r="M91" s="66">
        <f t="shared" si="5"/>
        <v>50.5</v>
      </c>
      <c r="N91" s="65"/>
      <c r="O91" s="437"/>
      <c r="P91" s="292"/>
    </row>
    <row r="92" spans="1:16" ht="15.95" customHeight="1">
      <c r="A92" s="445"/>
      <c r="B92" s="79" t="s">
        <v>49</v>
      </c>
      <c r="C92" s="34">
        <v>75</v>
      </c>
      <c r="D92" s="44"/>
      <c r="E92" s="446"/>
      <c r="F92" s="324"/>
      <c r="G92" s="53"/>
      <c r="H92" s="11">
        <v>83</v>
      </c>
      <c r="I92" s="145"/>
      <c r="J92" s="441"/>
      <c r="K92" s="423"/>
      <c r="L92" s="63"/>
      <c r="M92" s="66">
        <f t="shared" si="5"/>
        <v>39.5</v>
      </c>
      <c r="N92" s="67"/>
      <c r="O92" s="437"/>
      <c r="P92" s="292"/>
    </row>
    <row r="93" spans="1:16" ht="15.95" customHeight="1">
      <c r="A93" s="365"/>
      <c r="B93" s="366"/>
      <c r="C93" s="366"/>
      <c r="D93" s="366"/>
      <c r="E93" s="366"/>
      <c r="F93" s="366"/>
      <c r="G93" s="53"/>
      <c r="H93" s="426"/>
      <c r="I93" s="426"/>
      <c r="J93" s="426"/>
      <c r="K93" s="426"/>
      <c r="L93" s="63"/>
      <c r="M93" s="357"/>
      <c r="N93" s="357"/>
      <c r="O93" s="357"/>
      <c r="P93" s="357"/>
    </row>
    <row r="94" spans="1:16" s="84" customFormat="1" ht="67.5" customHeight="1">
      <c r="A94" s="87" t="s">
        <v>70</v>
      </c>
      <c r="B94" s="78" t="s">
        <v>36</v>
      </c>
      <c r="C94" s="34">
        <v>25</v>
      </c>
      <c r="D94" s="46"/>
      <c r="E94" s="34">
        <v>25</v>
      </c>
      <c r="F94" s="86"/>
      <c r="G94" s="53"/>
      <c r="H94" s="11">
        <v>82</v>
      </c>
      <c r="I94" s="49"/>
      <c r="J94" s="11">
        <f>H94/1</f>
        <v>82</v>
      </c>
      <c r="K94" s="49"/>
      <c r="L94" s="63"/>
      <c r="M94" s="66">
        <f>((C94+H94)*50/200)</f>
        <v>26.75</v>
      </c>
      <c r="N94" s="68"/>
      <c r="O94" s="149">
        <f>M94/1</f>
        <v>26.75</v>
      </c>
      <c r="P94" s="68"/>
    </row>
  </sheetData>
  <mergeCells count="93">
    <mergeCell ref="M49:P49"/>
    <mergeCell ref="A58:F58"/>
    <mergeCell ref="H58:K58"/>
    <mergeCell ref="A82:F82"/>
    <mergeCell ref="H82:K82"/>
    <mergeCell ref="M82:P82"/>
    <mergeCell ref="A72:F72"/>
    <mergeCell ref="H72:K72"/>
    <mergeCell ref="M72:P72"/>
    <mergeCell ref="P73:P81"/>
    <mergeCell ref="O73:O81"/>
    <mergeCell ref="O59:O71"/>
    <mergeCell ref="P59:P71"/>
    <mergeCell ref="M58:P58"/>
    <mergeCell ref="A73:A81"/>
    <mergeCell ref="E73:E81"/>
    <mergeCell ref="K83:K92"/>
    <mergeCell ref="O83:O92"/>
    <mergeCell ref="P83:P92"/>
    <mergeCell ref="A93:F93"/>
    <mergeCell ref="H93:K93"/>
    <mergeCell ref="M93:P93"/>
    <mergeCell ref="A83:A92"/>
    <mergeCell ref="E83:E92"/>
    <mergeCell ref="F83:F92"/>
    <mergeCell ref="J83:J92"/>
    <mergeCell ref="F73:F81"/>
    <mergeCell ref="J73:J81"/>
    <mergeCell ref="K73:K81"/>
    <mergeCell ref="A59:A71"/>
    <mergeCell ref="E59:E71"/>
    <mergeCell ref="F59:F71"/>
    <mergeCell ref="J59:J71"/>
    <mergeCell ref="K59:K71"/>
    <mergeCell ref="C45:E45"/>
    <mergeCell ref="H45:J45"/>
    <mergeCell ref="M45:O45"/>
    <mergeCell ref="A52:A57"/>
    <mergeCell ref="E52:E57"/>
    <mergeCell ref="F52:F57"/>
    <mergeCell ref="J52:J57"/>
    <mergeCell ref="K52:K57"/>
    <mergeCell ref="O52:O57"/>
    <mergeCell ref="A47:P47"/>
    <mergeCell ref="P52:P57"/>
    <mergeCell ref="A46:P46"/>
    <mergeCell ref="A49:A50"/>
    <mergeCell ref="B49:B50"/>
    <mergeCell ref="C49:F49"/>
    <mergeCell ref="H49:K49"/>
    <mergeCell ref="P35:P44"/>
    <mergeCell ref="E29:E34"/>
    <mergeCell ref="F29:F34"/>
    <mergeCell ref="J29:J34"/>
    <mergeCell ref="K29:K34"/>
    <mergeCell ref="O29:O34"/>
    <mergeCell ref="P29:P34"/>
    <mergeCell ref="E35:E44"/>
    <mergeCell ref="F35:F44"/>
    <mergeCell ref="J35:J44"/>
    <mergeCell ref="K35:K44"/>
    <mergeCell ref="O35:O44"/>
    <mergeCell ref="P17:P28"/>
    <mergeCell ref="E13:E16"/>
    <mergeCell ref="F13:F16"/>
    <mergeCell ref="J13:J16"/>
    <mergeCell ref="K13:K16"/>
    <mergeCell ref="O13:O16"/>
    <mergeCell ref="P13:P16"/>
    <mergeCell ref="E17:E28"/>
    <mergeCell ref="F17:F28"/>
    <mergeCell ref="J17:J28"/>
    <mergeCell ref="K17:K28"/>
    <mergeCell ref="O17:O28"/>
    <mergeCell ref="O11:O12"/>
    <mergeCell ref="P11:P12"/>
    <mergeCell ref="E7:E10"/>
    <mergeCell ref="F7:F10"/>
    <mergeCell ref="J7:J10"/>
    <mergeCell ref="K7:K10"/>
    <mergeCell ref="O7:O10"/>
    <mergeCell ref="P7:P10"/>
    <mergeCell ref="E11:E12"/>
    <mergeCell ref="F11:F12"/>
    <mergeCell ref="J11:J12"/>
    <mergeCell ref="K11:K12"/>
    <mergeCell ref="N11:N12"/>
    <mergeCell ref="B1:P1"/>
    <mergeCell ref="B2:P2"/>
    <mergeCell ref="B4:B5"/>
    <mergeCell ref="C4:F4"/>
    <mergeCell ref="H4:K4"/>
    <mergeCell ref="M4:P4"/>
  </mergeCells>
  <pageMargins left="0.70866141732283472" right="0.70866141732283472" top="0.74803149606299213" bottom="0.74803149606299213" header="0.31496062992125984" footer="0.31496062992125984"/>
  <pageSetup scale="95" orientation="landscape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14"/>
  <sheetViews>
    <sheetView topLeftCell="A65" zoomScaleNormal="100" workbookViewId="0">
      <selection activeCell="G68" sqref="G68"/>
    </sheetView>
  </sheetViews>
  <sheetFormatPr baseColWidth="10" defaultRowHeight="15"/>
  <cols>
    <col min="1" max="1" width="23.7109375" style="2" customWidth="1"/>
    <col min="2" max="2" width="26.7109375" style="8" hidden="1" customWidth="1"/>
    <col min="3" max="3" width="17" style="10" hidden="1" customWidth="1"/>
    <col min="4" max="4" width="7.7109375" style="3" hidden="1" customWidth="1"/>
    <col min="5" max="5" width="13.7109375" style="19" customWidth="1"/>
    <col min="6" max="6" width="7.7109375" style="2" hidden="1" customWidth="1"/>
    <col min="7" max="7" width="18.85546875" customWidth="1"/>
  </cols>
  <sheetData>
    <row r="1" spans="1:7" s="17" customFormat="1" ht="43.5" customHeight="1">
      <c r="A1" s="15" t="s">
        <v>0</v>
      </c>
      <c r="B1" s="15" t="s">
        <v>1</v>
      </c>
      <c r="C1" s="15" t="s">
        <v>8</v>
      </c>
      <c r="D1" s="15"/>
      <c r="E1" s="20" t="s">
        <v>120</v>
      </c>
      <c r="F1" s="16"/>
      <c r="G1" s="20" t="s">
        <v>121</v>
      </c>
    </row>
    <row r="2" spans="1:7" ht="15.95" customHeight="1">
      <c r="A2" s="4" t="s">
        <v>50</v>
      </c>
      <c r="B2" s="25"/>
      <c r="C2" s="11">
        <v>50</v>
      </c>
      <c r="D2" s="5"/>
      <c r="E2" s="24">
        <v>87.5</v>
      </c>
      <c r="F2" s="5"/>
      <c r="G2" s="178">
        <v>20</v>
      </c>
    </row>
    <row r="3" spans="1:7" ht="15.95" customHeight="1">
      <c r="A3" s="293" t="s">
        <v>52</v>
      </c>
      <c r="B3" s="25" t="s">
        <v>4</v>
      </c>
      <c r="C3" s="11">
        <f>(147*50)/100</f>
        <v>73.5</v>
      </c>
      <c r="D3" s="5"/>
      <c r="E3" s="291">
        <v>78</v>
      </c>
      <c r="F3" s="292"/>
      <c r="G3" s="291">
        <v>36.5</v>
      </c>
    </row>
    <row r="4" spans="1:7" ht="3.75" customHeight="1">
      <c r="A4" s="293"/>
      <c r="B4" s="25" t="s">
        <v>5</v>
      </c>
      <c r="C4" s="11">
        <v>50</v>
      </c>
      <c r="D4" s="5"/>
      <c r="E4" s="291"/>
      <c r="F4" s="292"/>
      <c r="G4" s="291"/>
    </row>
    <row r="5" spans="1:7" ht="15.75" hidden="1" customHeight="1">
      <c r="A5" s="293"/>
      <c r="B5" s="25" t="s">
        <v>6</v>
      </c>
      <c r="C5" s="11">
        <f>(0*50/100)</f>
        <v>0</v>
      </c>
      <c r="D5" s="6"/>
      <c r="E5" s="291"/>
      <c r="F5" s="292"/>
      <c r="G5" s="291"/>
    </row>
    <row r="6" spans="1:7" ht="27.75" hidden="1" customHeight="1">
      <c r="A6" s="293"/>
      <c r="B6" s="25" t="s">
        <v>7</v>
      </c>
      <c r="C6" s="11">
        <f>(75*50)/100</f>
        <v>37.5</v>
      </c>
      <c r="D6" s="7"/>
      <c r="E6" s="291"/>
      <c r="F6" s="292"/>
      <c r="G6" s="291"/>
    </row>
    <row r="7" spans="1:7" ht="15.95" customHeight="1">
      <c r="A7" s="293" t="s">
        <v>51</v>
      </c>
      <c r="B7" s="25" t="s">
        <v>12</v>
      </c>
      <c r="C7" s="11">
        <v>50</v>
      </c>
      <c r="D7" s="12"/>
      <c r="E7" s="291">
        <v>85</v>
      </c>
      <c r="F7" s="295"/>
      <c r="G7" s="291">
        <v>70.3</v>
      </c>
    </row>
    <row r="8" spans="1:7" ht="7.5" customHeight="1">
      <c r="A8" s="293"/>
      <c r="B8" s="25" t="s">
        <v>13</v>
      </c>
      <c r="C8" s="11">
        <v>50</v>
      </c>
      <c r="D8" s="12"/>
      <c r="E8" s="291"/>
      <c r="F8" s="296"/>
      <c r="G8" s="291"/>
    </row>
    <row r="9" spans="1:7" ht="26.25" customHeight="1">
      <c r="A9" s="293" t="s">
        <v>55</v>
      </c>
      <c r="B9" s="25" t="s">
        <v>15</v>
      </c>
      <c r="C9" s="11">
        <f>(50*50)/100</f>
        <v>25</v>
      </c>
      <c r="D9" s="14"/>
      <c r="E9" s="291">
        <v>70</v>
      </c>
      <c r="F9" s="374"/>
      <c r="G9" s="291">
        <v>68.7</v>
      </c>
    </row>
    <row r="10" spans="1:7" ht="27" hidden="1" customHeight="1">
      <c r="A10" s="293"/>
      <c r="B10" s="25" t="s">
        <v>16</v>
      </c>
      <c r="C10" s="11">
        <f>(79*50)/100</f>
        <v>39.5</v>
      </c>
      <c r="D10" s="26"/>
      <c r="E10" s="291"/>
      <c r="F10" s="375"/>
      <c r="G10" s="291"/>
    </row>
    <row r="11" spans="1:7" ht="15.75" hidden="1" customHeight="1">
      <c r="A11" s="293"/>
      <c r="B11" s="25" t="s">
        <v>17</v>
      </c>
      <c r="C11" s="11">
        <v>50</v>
      </c>
      <c r="D11" s="12"/>
      <c r="E11" s="291"/>
      <c r="F11" s="375"/>
      <c r="G11" s="291"/>
    </row>
    <row r="12" spans="1:7" ht="15.75" hidden="1" customHeight="1">
      <c r="A12" s="293"/>
      <c r="B12" s="25" t="s">
        <v>18</v>
      </c>
      <c r="C12" s="11">
        <v>0</v>
      </c>
      <c r="D12" s="14"/>
      <c r="E12" s="291"/>
      <c r="F12" s="376"/>
      <c r="G12" s="291"/>
    </row>
    <row r="13" spans="1:7" ht="15.95" customHeight="1">
      <c r="A13" s="285" t="s">
        <v>54</v>
      </c>
      <c r="B13" s="25" t="s">
        <v>20</v>
      </c>
      <c r="C13" s="11">
        <f>(123*50)/100</f>
        <v>61.5</v>
      </c>
      <c r="D13" s="12"/>
      <c r="E13" s="279">
        <v>72.400000000000006</v>
      </c>
      <c r="F13" s="282"/>
      <c r="G13" s="279">
        <v>48.6</v>
      </c>
    </row>
    <row r="14" spans="1:7" ht="3.75" customHeight="1">
      <c r="A14" s="286"/>
      <c r="B14" s="25" t="s">
        <v>21</v>
      </c>
      <c r="C14" s="11">
        <f>(65*50)/100</f>
        <v>32.5</v>
      </c>
      <c r="D14" s="26"/>
      <c r="E14" s="280"/>
      <c r="F14" s="283"/>
      <c r="G14" s="280"/>
    </row>
    <row r="15" spans="1:7" ht="15.75" hidden="1" customHeight="1">
      <c r="A15" s="286"/>
      <c r="B15" s="25" t="s">
        <v>22</v>
      </c>
      <c r="C15" s="11">
        <v>50</v>
      </c>
      <c r="D15" s="12"/>
      <c r="E15" s="280"/>
      <c r="F15" s="283"/>
      <c r="G15" s="280"/>
    </row>
    <row r="16" spans="1:7" ht="15.75" hidden="1" customHeight="1">
      <c r="A16" s="286"/>
      <c r="B16" s="25" t="s">
        <v>23</v>
      </c>
      <c r="C16" s="11">
        <v>50</v>
      </c>
      <c r="D16" s="12"/>
      <c r="E16" s="280"/>
      <c r="F16" s="283"/>
      <c r="G16" s="280"/>
    </row>
    <row r="17" spans="1:7" ht="15.75" hidden="1" customHeight="1">
      <c r="A17" s="286"/>
      <c r="B17" s="25" t="s">
        <v>24</v>
      </c>
      <c r="C17" s="11">
        <f>(95*50)/100</f>
        <v>47.5</v>
      </c>
      <c r="D17" s="26"/>
      <c r="E17" s="280"/>
      <c r="F17" s="283"/>
      <c r="G17" s="280"/>
    </row>
    <row r="18" spans="1:7" ht="15.75" hidden="1" customHeight="1">
      <c r="A18" s="286"/>
      <c r="B18" s="25" t="s">
        <v>25</v>
      </c>
      <c r="C18" s="11">
        <f>(94*50)/100</f>
        <v>47</v>
      </c>
      <c r="D18" s="26"/>
      <c r="E18" s="280"/>
      <c r="F18" s="283"/>
      <c r="G18" s="280"/>
    </row>
    <row r="19" spans="1:7" ht="15.75" hidden="1" customHeight="1">
      <c r="A19" s="286"/>
      <c r="B19" s="25" t="s">
        <v>26</v>
      </c>
      <c r="C19" s="11">
        <f>(99*50)/100</f>
        <v>49.5</v>
      </c>
      <c r="D19" s="26"/>
      <c r="E19" s="280"/>
      <c r="F19" s="283"/>
      <c r="G19" s="280"/>
    </row>
    <row r="20" spans="1:7" ht="24.75" hidden="1" customHeight="1">
      <c r="A20" s="286"/>
      <c r="B20" s="25" t="s">
        <v>27</v>
      </c>
      <c r="C20" s="11">
        <f>(91*50)/100</f>
        <v>45.5</v>
      </c>
      <c r="D20" s="26"/>
      <c r="E20" s="280"/>
      <c r="F20" s="283"/>
      <c r="G20" s="280"/>
    </row>
    <row r="21" spans="1:7" ht="15.75" hidden="1" customHeight="1">
      <c r="A21" s="286"/>
      <c r="B21" s="25" t="s">
        <v>28</v>
      </c>
      <c r="C21" s="11">
        <f>(183*50)/100</f>
        <v>91.5</v>
      </c>
      <c r="D21" s="12"/>
      <c r="E21" s="280"/>
      <c r="F21" s="283"/>
      <c r="G21" s="280"/>
    </row>
    <row r="22" spans="1:7" ht="15.75" hidden="1" customHeight="1">
      <c r="A22" s="286"/>
      <c r="B22" s="25" t="s">
        <v>29</v>
      </c>
      <c r="C22" s="11">
        <f>(67*50)/100</f>
        <v>33.5</v>
      </c>
      <c r="D22" s="26"/>
      <c r="E22" s="280"/>
      <c r="F22" s="283"/>
      <c r="G22" s="280"/>
    </row>
    <row r="23" spans="1:7" ht="15.75" hidden="1" customHeight="1">
      <c r="A23" s="286"/>
      <c r="B23" s="25" t="s">
        <v>30</v>
      </c>
      <c r="C23" s="11">
        <f>(65*50)/100</f>
        <v>32.5</v>
      </c>
      <c r="D23" s="26"/>
      <c r="E23" s="280"/>
      <c r="F23" s="283"/>
      <c r="G23" s="280"/>
    </row>
    <row r="24" spans="1:7" ht="15.75" hidden="1" customHeight="1">
      <c r="A24" s="287"/>
      <c r="B24" s="25" t="s">
        <v>31</v>
      </c>
      <c r="C24" s="11">
        <v>50</v>
      </c>
      <c r="D24" s="12"/>
      <c r="E24" s="281"/>
      <c r="F24" s="284"/>
      <c r="G24" s="281"/>
    </row>
    <row r="25" spans="1:7" ht="15.95" customHeight="1">
      <c r="A25" s="285" t="s">
        <v>56</v>
      </c>
      <c r="B25" s="25" t="s">
        <v>33</v>
      </c>
      <c r="C25" s="11">
        <f>(36*50)/100</f>
        <v>18</v>
      </c>
      <c r="D25" s="14"/>
      <c r="E25" s="279">
        <v>43.5</v>
      </c>
      <c r="F25" s="282"/>
      <c r="G25" s="279">
        <v>101.6</v>
      </c>
    </row>
    <row r="26" spans="1:7" ht="3" customHeight="1">
      <c r="A26" s="286"/>
      <c r="B26" s="25" t="s">
        <v>34</v>
      </c>
      <c r="C26" s="11">
        <f>(98*50)/100</f>
        <v>49</v>
      </c>
      <c r="D26" s="26"/>
      <c r="E26" s="280"/>
      <c r="F26" s="283"/>
      <c r="G26" s="280"/>
    </row>
    <row r="27" spans="1:7" ht="15.75" hidden="1" customHeight="1">
      <c r="A27" s="286"/>
      <c r="B27" s="25" t="s">
        <v>35</v>
      </c>
      <c r="C27" s="11">
        <v>50</v>
      </c>
      <c r="D27" s="12"/>
      <c r="E27" s="280"/>
      <c r="F27" s="283"/>
      <c r="G27" s="280"/>
    </row>
    <row r="28" spans="1:7" ht="27.75" hidden="1" customHeight="1">
      <c r="A28" s="286"/>
      <c r="B28" s="25" t="s">
        <v>36</v>
      </c>
      <c r="C28" s="11">
        <f>(99*50)/100</f>
        <v>49.5</v>
      </c>
      <c r="D28" s="26"/>
      <c r="E28" s="280"/>
      <c r="F28" s="283"/>
      <c r="G28" s="280"/>
    </row>
    <row r="29" spans="1:7" ht="27" hidden="1" customHeight="1">
      <c r="A29" s="286"/>
      <c r="B29" s="25" t="s">
        <v>37</v>
      </c>
      <c r="C29" s="11">
        <f>(50*50)/100</f>
        <v>25</v>
      </c>
      <c r="D29" s="14"/>
      <c r="E29" s="280"/>
      <c r="F29" s="283"/>
      <c r="G29" s="280"/>
    </row>
    <row r="30" spans="1:7" ht="15.75" hidden="1" customHeight="1">
      <c r="A30" s="286"/>
      <c r="B30" s="25" t="s">
        <v>38</v>
      </c>
      <c r="C30" s="11">
        <f>(50*50)/100</f>
        <v>25</v>
      </c>
      <c r="D30" s="14"/>
      <c r="E30" s="281"/>
      <c r="F30" s="284"/>
      <c r="G30" s="281"/>
    </row>
    <row r="31" spans="1:7" ht="24.75" customHeight="1">
      <c r="A31" s="321" t="s">
        <v>53</v>
      </c>
      <c r="B31" s="28" t="s">
        <v>40</v>
      </c>
      <c r="C31" s="11">
        <f>(85*50)/100</f>
        <v>42.5</v>
      </c>
      <c r="D31" s="27"/>
      <c r="E31" s="291">
        <v>57.6</v>
      </c>
      <c r="F31" s="282"/>
      <c r="G31" s="291">
        <v>55.6</v>
      </c>
    </row>
    <row r="32" spans="1:7" ht="15.75" hidden="1" customHeight="1">
      <c r="A32" s="321"/>
      <c r="B32" s="28" t="s">
        <v>41</v>
      </c>
      <c r="C32" s="11">
        <f>(75*50)/100</f>
        <v>37.5</v>
      </c>
      <c r="D32" s="27"/>
      <c r="E32" s="291"/>
      <c r="F32" s="283"/>
      <c r="G32" s="291"/>
    </row>
    <row r="33" spans="1:7" ht="26.25" hidden="1" customHeight="1">
      <c r="A33" s="321"/>
      <c r="B33" s="28" t="s">
        <v>42</v>
      </c>
      <c r="C33" s="11">
        <f>(117*50)/100</f>
        <v>58.5</v>
      </c>
      <c r="D33" s="12"/>
      <c r="E33" s="291"/>
      <c r="F33" s="283"/>
      <c r="G33" s="291"/>
    </row>
    <row r="34" spans="1:7" ht="15.75" hidden="1" customHeight="1">
      <c r="A34" s="321"/>
      <c r="B34" s="28" t="s">
        <v>43</v>
      </c>
      <c r="C34" s="11">
        <v>0</v>
      </c>
      <c r="D34" s="14"/>
      <c r="E34" s="291"/>
      <c r="F34" s="283"/>
      <c r="G34" s="291"/>
    </row>
    <row r="35" spans="1:7" ht="27" hidden="1" customHeight="1">
      <c r="A35" s="321"/>
      <c r="B35" s="28" t="s">
        <v>44</v>
      </c>
      <c r="C35" s="11">
        <f>(100*50)/100</f>
        <v>50</v>
      </c>
      <c r="D35" s="12"/>
      <c r="E35" s="291"/>
      <c r="F35" s="283"/>
      <c r="G35" s="291"/>
    </row>
    <row r="36" spans="1:7" ht="15.75" hidden="1" customHeight="1">
      <c r="A36" s="321"/>
      <c r="B36" s="28" t="s">
        <v>45</v>
      </c>
      <c r="C36" s="11">
        <f>(50*50)/100</f>
        <v>25</v>
      </c>
      <c r="D36" s="14"/>
      <c r="E36" s="291"/>
      <c r="F36" s="283"/>
      <c r="G36" s="291"/>
    </row>
    <row r="37" spans="1:7" ht="30" hidden="1" customHeight="1">
      <c r="A37" s="321"/>
      <c r="B37" s="28" t="s">
        <v>46</v>
      </c>
      <c r="C37" s="11">
        <f>(50*50)/100</f>
        <v>25</v>
      </c>
      <c r="D37" s="14"/>
      <c r="E37" s="291"/>
      <c r="F37" s="283"/>
      <c r="G37" s="291"/>
    </row>
    <row r="38" spans="1:7" ht="15.75" hidden="1" customHeight="1">
      <c r="A38" s="321"/>
      <c r="B38" s="28" t="s">
        <v>47</v>
      </c>
      <c r="C38" s="11">
        <v>0</v>
      </c>
      <c r="D38" s="14"/>
      <c r="E38" s="291"/>
      <c r="F38" s="283"/>
      <c r="G38" s="291"/>
    </row>
    <row r="39" spans="1:7" ht="15.75" hidden="1" customHeight="1">
      <c r="A39" s="321"/>
      <c r="B39" s="28" t="s">
        <v>48</v>
      </c>
      <c r="C39" s="11">
        <f>(80*50)/100</f>
        <v>40</v>
      </c>
      <c r="D39" s="27"/>
      <c r="E39" s="291"/>
      <c r="F39" s="283"/>
      <c r="G39" s="291"/>
    </row>
    <row r="40" spans="1:7" ht="15.75" hidden="1" customHeight="1">
      <c r="A40" s="321"/>
      <c r="B40" s="28" t="s">
        <v>49</v>
      </c>
      <c r="C40" s="11">
        <f>(150*50)/100</f>
        <v>75</v>
      </c>
      <c r="D40" s="12"/>
      <c r="E40" s="291"/>
      <c r="F40" s="284"/>
      <c r="G40" s="291"/>
    </row>
    <row r="41" spans="1:7">
      <c r="A41" s="4" t="s">
        <v>122</v>
      </c>
      <c r="B41" s="197"/>
      <c r="C41" s="190"/>
      <c r="D41" s="198"/>
      <c r="E41" s="189">
        <v>86.21</v>
      </c>
      <c r="F41" s="4"/>
      <c r="G41" s="189">
        <v>56.6</v>
      </c>
    </row>
    <row r="53" spans="1:7">
      <c r="A53" s="120">
        <v>4827000000</v>
      </c>
      <c r="E53" s="19" t="s">
        <v>80</v>
      </c>
    </row>
    <row r="54" spans="1:7">
      <c r="A54" s="120">
        <v>2457000000</v>
      </c>
      <c r="E54" s="19" t="s">
        <v>81</v>
      </c>
    </row>
    <row r="55" spans="1:7">
      <c r="A55" s="120">
        <f>SUM(A53:A54)</f>
        <v>7284000000</v>
      </c>
      <c r="E55" s="19" t="s">
        <v>82</v>
      </c>
      <c r="G55" s="121"/>
    </row>
    <row r="56" spans="1:7">
      <c r="A56" s="120"/>
    </row>
    <row r="57" spans="1:7">
      <c r="A57" s="120">
        <v>2381000000</v>
      </c>
      <c r="E57" s="19" t="s">
        <v>83</v>
      </c>
    </row>
    <row r="58" spans="1:7">
      <c r="A58" s="120">
        <v>582000000</v>
      </c>
      <c r="E58" s="19" t="s">
        <v>84</v>
      </c>
    </row>
    <row r="59" spans="1:7">
      <c r="A59" s="120">
        <f>SUM(A57:A58)</f>
        <v>2963000000</v>
      </c>
      <c r="E59" s="19" t="s">
        <v>85</v>
      </c>
    </row>
    <row r="61" spans="1:7">
      <c r="A61" s="120">
        <f>SUM(A55+A59)</f>
        <v>10247000000</v>
      </c>
      <c r="E61" s="19" t="s">
        <v>86</v>
      </c>
    </row>
    <row r="72" spans="1:7">
      <c r="A72" s="447"/>
      <c r="B72" s="447"/>
      <c r="C72" s="447"/>
      <c r="D72" s="447"/>
      <c r="E72" s="447"/>
      <c r="F72" s="447"/>
      <c r="G72" s="447"/>
    </row>
    <row r="74" spans="1:7" ht="45">
      <c r="A74" s="231" t="s">
        <v>0</v>
      </c>
      <c r="B74" s="231" t="s">
        <v>1</v>
      </c>
      <c r="C74" s="231" t="s">
        <v>8</v>
      </c>
      <c r="D74" s="231"/>
      <c r="E74" s="20" t="s">
        <v>120</v>
      </c>
      <c r="F74" s="16"/>
    </row>
    <row r="75" spans="1:7">
      <c r="A75" s="4" t="s">
        <v>50</v>
      </c>
      <c r="B75" s="229"/>
      <c r="C75" s="233">
        <v>50</v>
      </c>
      <c r="D75" s="5"/>
      <c r="E75" s="227">
        <v>100</v>
      </c>
      <c r="F75" s="5"/>
    </row>
    <row r="76" spans="1:7" ht="15.75" customHeight="1">
      <c r="A76" s="293" t="s">
        <v>52</v>
      </c>
      <c r="B76" s="229" t="s">
        <v>4</v>
      </c>
      <c r="C76" s="233">
        <f>(147*50)/100</f>
        <v>73.5</v>
      </c>
      <c r="D76" s="5"/>
      <c r="E76" s="291">
        <v>90</v>
      </c>
      <c r="F76" s="292"/>
    </row>
    <row r="77" spans="1:7" hidden="1">
      <c r="A77" s="293"/>
      <c r="B77" s="229" t="s">
        <v>5</v>
      </c>
      <c r="C77" s="233">
        <v>50</v>
      </c>
      <c r="D77" s="5"/>
      <c r="E77" s="291"/>
      <c r="F77" s="292"/>
    </row>
    <row r="78" spans="1:7" hidden="1">
      <c r="A78" s="293"/>
      <c r="B78" s="229" t="s">
        <v>6</v>
      </c>
      <c r="C78" s="233">
        <f>(0*50/100)</f>
        <v>0</v>
      </c>
      <c r="D78" s="6"/>
      <c r="E78" s="291"/>
      <c r="F78" s="292"/>
    </row>
    <row r="79" spans="1:7" ht="42.75" hidden="1">
      <c r="A79" s="293"/>
      <c r="B79" s="229" t="s">
        <v>7</v>
      </c>
      <c r="C79" s="233">
        <f>(75*50)/100</f>
        <v>37.5</v>
      </c>
      <c r="D79" s="7"/>
      <c r="E79" s="291"/>
      <c r="F79" s="292"/>
    </row>
    <row r="80" spans="1:7" ht="14.25" customHeight="1">
      <c r="A80" s="293" t="s">
        <v>51</v>
      </c>
      <c r="B80" s="229" t="s">
        <v>12</v>
      </c>
      <c r="C80" s="233">
        <v>50</v>
      </c>
      <c r="D80" s="232"/>
      <c r="E80" s="291">
        <v>97.5</v>
      </c>
      <c r="F80" s="295"/>
    </row>
    <row r="81" spans="1:6" hidden="1">
      <c r="A81" s="293"/>
      <c r="B81" s="229" t="s">
        <v>13</v>
      </c>
      <c r="C81" s="233">
        <v>50</v>
      </c>
      <c r="D81" s="232"/>
      <c r="E81" s="291"/>
      <c r="F81" s="296"/>
    </row>
    <row r="82" spans="1:6" ht="12.75" customHeight="1">
      <c r="A82" s="293" t="s">
        <v>55</v>
      </c>
      <c r="B82" s="229" t="s">
        <v>15</v>
      </c>
      <c r="C82" s="233">
        <f>(50*50)/100</f>
        <v>25</v>
      </c>
      <c r="D82" s="14"/>
      <c r="E82" s="291">
        <v>85.3</v>
      </c>
      <c r="F82" s="374"/>
    </row>
    <row r="83" spans="1:6" ht="28.5" hidden="1">
      <c r="A83" s="293"/>
      <c r="B83" s="229" t="s">
        <v>16</v>
      </c>
      <c r="C83" s="233">
        <f>(79*50)/100</f>
        <v>39.5</v>
      </c>
      <c r="D83" s="228"/>
      <c r="E83" s="291"/>
      <c r="F83" s="375"/>
    </row>
    <row r="84" spans="1:6" hidden="1">
      <c r="A84" s="293"/>
      <c r="B84" s="229" t="s">
        <v>17</v>
      </c>
      <c r="C84" s="233">
        <v>50</v>
      </c>
      <c r="D84" s="232"/>
      <c r="E84" s="291"/>
      <c r="F84" s="375"/>
    </row>
    <row r="85" spans="1:6" hidden="1">
      <c r="A85" s="293"/>
      <c r="B85" s="229" t="s">
        <v>18</v>
      </c>
      <c r="C85" s="233">
        <v>0</v>
      </c>
      <c r="D85" s="14"/>
      <c r="E85" s="291"/>
      <c r="F85" s="376"/>
    </row>
    <row r="86" spans="1:6" ht="14.25" customHeight="1">
      <c r="A86" s="285" t="s">
        <v>54</v>
      </c>
      <c r="B86" s="229" t="s">
        <v>20</v>
      </c>
      <c r="C86" s="233">
        <f>(123*50)/100</f>
        <v>61.5</v>
      </c>
      <c r="D86" s="232"/>
      <c r="E86" s="279">
        <v>85.6</v>
      </c>
      <c r="F86" s="282"/>
    </row>
    <row r="87" spans="1:6" hidden="1">
      <c r="A87" s="286"/>
      <c r="B87" s="229" t="s">
        <v>21</v>
      </c>
      <c r="C87" s="233">
        <f>(65*50)/100</f>
        <v>32.5</v>
      </c>
      <c r="D87" s="228"/>
      <c r="E87" s="280"/>
      <c r="F87" s="283"/>
    </row>
    <row r="88" spans="1:6" hidden="1">
      <c r="A88" s="286"/>
      <c r="B88" s="229" t="s">
        <v>22</v>
      </c>
      <c r="C88" s="233">
        <v>50</v>
      </c>
      <c r="D88" s="232"/>
      <c r="E88" s="280"/>
      <c r="F88" s="283"/>
    </row>
    <row r="89" spans="1:6" hidden="1">
      <c r="A89" s="286"/>
      <c r="B89" s="229" t="s">
        <v>23</v>
      </c>
      <c r="C89" s="233">
        <v>50</v>
      </c>
      <c r="D89" s="232"/>
      <c r="E89" s="280"/>
      <c r="F89" s="283"/>
    </row>
    <row r="90" spans="1:6" hidden="1">
      <c r="A90" s="286"/>
      <c r="B90" s="229" t="s">
        <v>24</v>
      </c>
      <c r="C90" s="233">
        <f>(95*50)/100</f>
        <v>47.5</v>
      </c>
      <c r="D90" s="228"/>
      <c r="E90" s="280"/>
      <c r="F90" s="283"/>
    </row>
    <row r="91" spans="1:6" hidden="1">
      <c r="A91" s="286"/>
      <c r="B91" s="229" t="s">
        <v>25</v>
      </c>
      <c r="C91" s="233">
        <f>(94*50)/100</f>
        <v>47</v>
      </c>
      <c r="D91" s="228"/>
      <c r="E91" s="280"/>
      <c r="F91" s="283"/>
    </row>
    <row r="92" spans="1:6" hidden="1">
      <c r="A92" s="286"/>
      <c r="B92" s="229" t="s">
        <v>26</v>
      </c>
      <c r="C92" s="233">
        <f>(99*50)/100</f>
        <v>49.5</v>
      </c>
      <c r="D92" s="228"/>
      <c r="E92" s="280"/>
      <c r="F92" s="283"/>
    </row>
    <row r="93" spans="1:6" ht="28.5" hidden="1">
      <c r="A93" s="286"/>
      <c r="B93" s="229" t="s">
        <v>27</v>
      </c>
      <c r="C93" s="233">
        <f>(91*50)/100</f>
        <v>45.5</v>
      </c>
      <c r="D93" s="228"/>
      <c r="E93" s="280"/>
      <c r="F93" s="283"/>
    </row>
    <row r="94" spans="1:6" hidden="1">
      <c r="A94" s="286"/>
      <c r="B94" s="229" t="s">
        <v>28</v>
      </c>
      <c r="C94" s="233">
        <f>(183*50)/100</f>
        <v>91.5</v>
      </c>
      <c r="D94" s="232"/>
      <c r="E94" s="280"/>
      <c r="F94" s="283"/>
    </row>
    <row r="95" spans="1:6" hidden="1">
      <c r="A95" s="286"/>
      <c r="B95" s="229" t="s">
        <v>29</v>
      </c>
      <c r="C95" s="233">
        <f>(67*50)/100</f>
        <v>33.5</v>
      </c>
      <c r="D95" s="228"/>
      <c r="E95" s="280"/>
      <c r="F95" s="283"/>
    </row>
    <row r="96" spans="1:6" hidden="1">
      <c r="A96" s="286"/>
      <c r="B96" s="229" t="s">
        <v>30</v>
      </c>
      <c r="C96" s="233">
        <f>(65*50)/100</f>
        <v>32.5</v>
      </c>
      <c r="D96" s="228"/>
      <c r="E96" s="280"/>
      <c r="F96" s="283"/>
    </row>
    <row r="97" spans="1:6" hidden="1">
      <c r="A97" s="287"/>
      <c r="B97" s="229" t="s">
        <v>31</v>
      </c>
      <c r="C97" s="233">
        <v>50</v>
      </c>
      <c r="D97" s="232"/>
      <c r="E97" s="281"/>
      <c r="F97" s="284"/>
    </row>
    <row r="98" spans="1:6" ht="13.5" customHeight="1">
      <c r="A98" s="285" t="s">
        <v>56</v>
      </c>
      <c r="B98" s="229" t="s">
        <v>33</v>
      </c>
      <c r="C98" s="233">
        <f>(36*50)/100</f>
        <v>18</v>
      </c>
      <c r="D98" s="14"/>
      <c r="E98" s="279">
        <v>61.6</v>
      </c>
      <c r="F98" s="282"/>
    </row>
    <row r="99" spans="1:6" hidden="1">
      <c r="A99" s="286"/>
      <c r="B99" s="229" t="s">
        <v>34</v>
      </c>
      <c r="C99" s="233">
        <f>(98*50)/100</f>
        <v>49</v>
      </c>
      <c r="D99" s="228"/>
      <c r="E99" s="280"/>
      <c r="F99" s="283"/>
    </row>
    <row r="100" spans="1:6" hidden="1">
      <c r="A100" s="286"/>
      <c r="B100" s="229" t="s">
        <v>35</v>
      </c>
      <c r="C100" s="233">
        <v>50</v>
      </c>
      <c r="D100" s="232"/>
      <c r="E100" s="280"/>
      <c r="F100" s="283"/>
    </row>
    <row r="101" spans="1:6" ht="28.5" hidden="1">
      <c r="A101" s="286"/>
      <c r="B101" s="229" t="s">
        <v>36</v>
      </c>
      <c r="C101" s="233">
        <f>(99*50)/100</f>
        <v>49.5</v>
      </c>
      <c r="D101" s="228"/>
      <c r="E101" s="280"/>
      <c r="F101" s="283"/>
    </row>
    <row r="102" spans="1:6" ht="28.5" hidden="1">
      <c r="A102" s="286"/>
      <c r="B102" s="229" t="s">
        <v>37</v>
      </c>
      <c r="C102" s="233">
        <f>(50*50)/100</f>
        <v>25</v>
      </c>
      <c r="D102" s="14"/>
      <c r="E102" s="280"/>
      <c r="F102" s="283"/>
    </row>
    <row r="103" spans="1:6" hidden="1">
      <c r="A103" s="286"/>
      <c r="B103" s="229" t="s">
        <v>38</v>
      </c>
      <c r="C103" s="233">
        <f>(50*50)/100</f>
        <v>25</v>
      </c>
      <c r="D103" s="14"/>
      <c r="E103" s="281"/>
      <c r="F103" s="284"/>
    </row>
    <row r="104" spans="1:6" ht="15" customHeight="1">
      <c r="A104" s="321" t="s">
        <v>53</v>
      </c>
      <c r="B104" s="229" t="s">
        <v>40</v>
      </c>
      <c r="C104" s="233">
        <f>(85*50)/100</f>
        <v>42.5</v>
      </c>
      <c r="D104" s="228"/>
      <c r="E104" s="291">
        <v>67.7</v>
      </c>
      <c r="F104" s="282"/>
    </row>
    <row r="105" spans="1:6" hidden="1">
      <c r="A105" s="321"/>
      <c r="B105" s="229" t="s">
        <v>41</v>
      </c>
      <c r="C105" s="233">
        <f>(75*50)/100</f>
        <v>37.5</v>
      </c>
      <c r="D105" s="228"/>
      <c r="E105" s="291"/>
      <c r="F105" s="283"/>
    </row>
    <row r="106" spans="1:6" ht="28.5" hidden="1">
      <c r="A106" s="321"/>
      <c r="B106" s="229" t="s">
        <v>42</v>
      </c>
      <c r="C106" s="233">
        <f>(117*50)/100</f>
        <v>58.5</v>
      </c>
      <c r="D106" s="232"/>
      <c r="E106" s="291"/>
      <c r="F106" s="283"/>
    </row>
    <row r="107" spans="1:6" hidden="1">
      <c r="A107" s="321"/>
      <c r="B107" s="229" t="s">
        <v>43</v>
      </c>
      <c r="C107" s="233">
        <v>0</v>
      </c>
      <c r="D107" s="14"/>
      <c r="E107" s="291"/>
      <c r="F107" s="283"/>
    </row>
    <row r="108" spans="1:6" ht="28.5" hidden="1">
      <c r="A108" s="321"/>
      <c r="B108" s="229" t="s">
        <v>44</v>
      </c>
      <c r="C108" s="233">
        <f>(100*50)/100</f>
        <v>50</v>
      </c>
      <c r="D108" s="232"/>
      <c r="E108" s="291"/>
      <c r="F108" s="283"/>
    </row>
    <row r="109" spans="1:6" hidden="1">
      <c r="A109" s="321"/>
      <c r="B109" s="229" t="s">
        <v>45</v>
      </c>
      <c r="C109" s="233">
        <f>(50*50)/100</f>
        <v>25</v>
      </c>
      <c r="D109" s="14"/>
      <c r="E109" s="291"/>
      <c r="F109" s="283"/>
    </row>
    <row r="110" spans="1:6" ht="28.5" hidden="1">
      <c r="A110" s="321"/>
      <c r="B110" s="229" t="s">
        <v>46</v>
      </c>
      <c r="C110" s="233">
        <f>(50*50)/100</f>
        <v>25</v>
      </c>
      <c r="D110" s="14"/>
      <c r="E110" s="291"/>
      <c r="F110" s="283"/>
    </row>
    <row r="111" spans="1:6" hidden="1">
      <c r="A111" s="321"/>
      <c r="B111" s="229" t="s">
        <v>47</v>
      </c>
      <c r="C111" s="233">
        <v>0</v>
      </c>
      <c r="D111" s="14"/>
      <c r="E111" s="291"/>
      <c r="F111" s="283"/>
    </row>
    <row r="112" spans="1:6" ht="28.5" hidden="1" customHeight="1">
      <c r="A112" s="321"/>
      <c r="B112" s="229" t="s">
        <v>48</v>
      </c>
      <c r="C112" s="233">
        <f>(80*50)/100</f>
        <v>40</v>
      </c>
      <c r="D112" s="228"/>
      <c r="E112" s="291"/>
      <c r="F112" s="283"/>
    </row>
    <row r="113" spans="1:6" hidden="1">
      <c r="A113" s="321"/>
      <c r="B113" s="229" t="s">
        <v>49</v>
      </c>
      <c r="C113" s="233">
        <f>(150*50)/100</f>
        <v>75</v>
      </c>
      <c r="D113" s="232"/>
      <c r="E113" s="291"/>
      <c r="F113" s="284"/>
    </row>
    <row r="114" spans="1:6">
      <c r="A114" s="4" t="s">
        <v>122</v>
      </c>
      <c r="B114" s="197"/>
      <c r="C114" s="233"/>
      <c r="D114" s="198"/>
      <c r="E114" s="230">
        <f>SUM(E75:E113)/7</f>
        <v>83.95714285714287</v>
      </c>
      <c r="F114" s="4"/>
    </row>
  </sheetData>
  <mergeCells count="43">
    <mergeCell ref="E9:E12"/>
    <mergeCell ref="F9:F12"/>
    <mergeCell ref="A31:A40"/>
    <mergeCell ref="E31:E40"/>
    <mergeCell ref="F31:F40"/>
    <mergeCell ref="A13:A24"/>
    <mergeCell ref="E13:E24"/>
    <mergeCell ref="F13:F24"/>
    <mergeCell ref="A25:A30"/>
    <mergeCell ref="E25:E30"/>
    <mergeCell ref="F25:F30"/>
    <mergeCell ref="A80:A81"/>
    <mergeCell ref="E80:E81"/>
    <mergeCell ref="F80:F81"/>
    <mergeCell ref="G31:G40"/>
    <mergeCell ref="G3:G6"/>
    <mergeCell ref="G7:G8"/>
    <mergeCell ref="G9:G12"/>
    <mergeCell ref="G13:G24"/>
    <mergeCell ref="G25:G30"/>
    <mergeCell ref="A3:A6"/>
    <mergeCell ref="E3:E6"/>
    <mergeCell ref="F3:F6"/>
    <mergeCell ref="A7:A8"/>
    <mergeCell ref="E7:E8"/>
    <mergeCell ref="F7:F8"/>
    <mergeCell ref="A9:A12"/>
    <mergeCell ref="A72:G72"/>
    <mergeCell ref="A98:A103"/>
    <mergeCell ref="E98:E103"/>
    <mergeCell ref="F98:F103"/>
    <mergeCell ref="A104:A113"/>
    <mergeCell ref="E104:E113"/>
    <mergeCell ref="F104:F113"/>
    <mergeCell ref="A82:A85"/>
    <mergeCell ref="E82:E85"/>
    <mergeCell ref="F82:F85"/>
    <mergeCell ref="A86:A97"/>
    <mergeCell ref="E86:E97"/>
    <mergeCell ref="F86:F97"/>
    <mergeCell ref="A76:A79"/>
    <mergeCell ref="E76:E79"/>
    <mergeCell ref="F76:F79"/>
  </mergeCells>
  <pageMargins left="0.70866141732283472" right="0.70866141732283472" top="0.74803149606299213" bottom="0.74803149606299213" header="0.31496062992125984" footer="0.31496062992125984"/>
  <pageSetup scale="95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9"/>
  <sheetViews>
    <sheetView workbookViewId="0">
      <selection activeCell="I36" sqref="I36"/>
    </sheetView>
  </sheetViews>
  <sheetFormatPr baseColWidth="10" defaultRowHeight="15"/>
  <cols>
    <col min="1" max="1" width="24.5703125" customWidth="1"/>
    <col min="2" max="2" width="15.28515625" customWidth="1"/>
    <col min="3" max="3" width="16.42578125" customWidth="1"/>
    <col min="4" max="4" width="14.5703125" customWidth="1"/>
  </cols>
  <sheetData>
    <row r="1" spans="1:4" ht="20.100000000000001" customHeight="1">
      <c r="B1" s="181">
        <v>2016</v>
      </c>
      <c r="C1" s="181">
        <v>2017</v>
      </c>
      <c r="D1" s="181">
        <v>2018</v>
      </c>
    </row>
    <row r="2" spans="1:4" ht="20.100000000000001" customHeight="1">
      <c r="A2" s="100" t="s">
        <v>104</v>
      </c>
      <c r="B2" s="182"/>
      <c r="C2" s="182"/>
      <c r="D2" s="182"/>
    </row>
    <row r="3" spans="1:4" ht="20.100000000000001" customHeight="1">
      <c r="A3" s="100" t="s">
        <v>105</v>
      </c>
      <c r="B3" s="182"/>
      <c r="C3" s="182"/>
      <c r="D3" s="182"/>
    </row>
    <row r="4" spans="1:4" ht="20.100000000000001" customHeight="1">
      <c r="A4" s="100" t="s">
        <v>106</v>
      </c>
      <c r="B4" s="182"/>
      <c r="C4" s="182"/>
      <c r="D4" s="182"/>
    </row>
    <row r="5" spans="1:4" ht="20.100000000000001" customHeight="1">
      <c r="A5" s="100" t="s">
        <v>84</v>
      </c>
      <c r="B5" s="182"/>
      <c r="C5" s="182"/>
      <c r="D5" s="182"/>
    </row>
    <row r="6" spans="1:4" ht="20.100000000000001" customHeight="1">
      <c r="A6" s="100" t="s">
        <v>107</v>
      </c>
      <c r="B6" s="182"/>
      <c r="C6" s="182"/>
      <c r="D6" s="182"/>
    </row>
    <row r="7" spans="1:4" ht="20.100000000000001" customHeight="1">
      <c r="A7" s="100" t="s">
        <v>108</v>
      </c>
      <c r="B7" s="182"/>
      <c r="C7" s="182"/>
      <c r="D7" s="182"/>
    </row>
    <row r="8" spans="1:4" ht="20.100000000000001" customHeight="1">
      <c r="B8" s="183"/>
      <c r="C8" s="183"/>
      <c r="D8" s="183"/>
    </row>
    <row r="9" spans="1:4" ht="20.100000000000001" customHeight="1">
      <c r="A9" s="100" t="s">
        <v>109</v>
      </c>
      <c r="B9" s="182"/>
      <c r="C9" s="182"/>
      <c r="D9" s="182"/>
    </row>
  </sheetData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4"/>
  <sheetViews>
    <sheetView topLeftCell="A16" workbookViewId="0">
      <selection activeCell="A46" sqref="A46:XFD47"/>
    </sheetView>
  </sheetViews>
  <sheetFormatPr baseColWidth="10" defaultRowHeight="15"/>
  <cols>
    <col min="1" max="1" width="7.85546875" customWidth="1"/>
    <col min="2" max="2" width="15.85546875" style="119" customWidth="1"/>
    <col min="3" max="3" width="14.7109375" style="119" customWidth="1"/>
    <col min="4" max="4" width="12.85546875" style="119" bestFit="1" customWidth="1"/>
    <col min="5" max="7" width="11.5703125" style="119" bestFit="1" customWidth="1"/>
    <col min="8" max="8" width="12.5703125" style="119" customWidth="1"/>
    <col min="9" max="10" width="11.5703125" style="119" bestFit="1" customWidth="1"/>
    <col min="11" max="11" width="11.42578125" style="119"/>
  </cols>
  <sheetData>
    <row r="1" spans="1:6">
      <c r="A1" t="s">
        <v>110</v>
      </c>
      <c r="B1" s="119">
        <v>420000000</v>
      </c>
    </row>
    <row r="2" spans="1:6">
      <c r="A2" t="s">
        <v>111</v>
      </c>
      <c r="B2" s="119">
        <v>145141426.80000001</v>
      </c>
    </row>
    <row r="3" spans="1:6">
      <c r="A3" t="s">
        <v>112</v>
      </c>
      <c r="B3" s="119">
        <v>4151265363.8200002</v>
      </c>
    </row>
    <row r="4" spans="1:6">
      <c r="A4" t="s">
        <v>113</v>
      </c>
      <c r="B4" s="119">
        <v>2117718213.5899999</v>
      </c>
    </row>
    <row r="5" spans="1:6">
      <c r="A5" t="s">
        <v>114</v>
      </c>
      <c r="B5" s="119">
        <v>37845691946.989998</v>
      </c>
    </row>
    <row r="6" spans="1:6">
      <c r="A6" t="s">
        <v>115</v>
      </c>
      <c r="B6" s="119">
        <v>8536260867.6400003</v>
      </c>
    </row>
    <row r="7" spans="1:6">
      <c r="A7" t="s">
        <v>116</v>
      </c>
      <c r="B7" s="119">
        <v>8789093865.0699997</v>
      </c>
      <c r="C7" s="119">
        <v>7676452312</v>
      </c>
      <c r="D7" s="119">
        <f>B7-C7</f>
        <v>1112641553.0699997</v>
      </c>
    </row>
    <row r="8" spans="1:6">
      <c r="B8" s="119">
        <f>SUM(B1:B7)</f>
        <v>62005171683.909996</v>
      </c>
      <c r="C8" s="119">
        <v>60892526481</v>
      </c>
      <c r="D8" s="119">
        <f>B8-C8</f>
        <v>1112645202.909996</v>
      </c>
    </row>
    <row r="9" spans="1:6" ht="10.5" customHeight="1"/>
    <row r="10" spans="1:6">
      <c r="B10" s="119" t="s">
        <v>87</v>
      </c>
      <c r="D10" s="119" t="s">
        <v>88</v>
      </c>
    </row>
    <row r="11" spans="1:6">
      <c r="B11" s="119">
        <v>213443274.69999999</v>
      </c>
      <c r="D11" s="119">
        <v>85377309.879999995</v>
      </c>
      <c r="F11" s="119" t="s">
        <v>119</v>
      </c>
    </row>
    <row r="12" spans="1:6">
      <c r="B12" s="119">
        <v>20000000</v>
      </c>
      <c r="D12" s="119">
        <v>4268865.49</v>
      </c>
      <c r="F12" s="119">
        <v>950000000</v>
      </c>
    </row>
    <row r="13" spans="1:6">
      <c r="B13" s="119">
        <v>47350944.5</v>
      </c>
      <c r="D13" s="119">
        <v>156855350</v>
      </c>
    </row>
    <row r="14" spans="1:6">
      <c r="B14" s="119">
        <v>29508648.440000001</v>
      </c>
      <c r="D14" s="119">
        <v>377410000</v>
      </c>
    </row>
    <row r="15" spans="1:6">
      <c r="B15" s="119">
        <v>45000000</v>
      </c>
      <c r="D15" s="119">
        <f>SUM(D11:D14)</f>
        <v>623911525.37</v>
      </c>
    </row>
    <row r="16" spans="1:6">
      <c r="B16" s="119">
        <v>10672163.74</v>
      </c>
      <c r="F16" s="119" t="s">
        <v>89</v>
      </c>
    </row>
    <row r="17" spans="2:8">
      <c r="B17" s="119">
        <v>25937500</v>
      </c>
      <c r="D17" s="119" t="s">
        <v>117</v>
      </c>
      <c r="F17" s="119">
        <v>623993725</v>
      </c>
    </row>
    <row r="18" spans="2:8">
      <c r="B18" s="119">
        <v>33233963</v>
      </c>
      <c r="D18" s="119">
        <v>608600000</v>
      </c>
      <c r="F18" s="119">
        <v>4268865.49</v>
      </c>
    </row>
    <row r="19" spans="2:8">
      <c r="B19" s="119">
        <v>80290568</v>
      </c>
      <c r="D19" s="119">
        <v>627421400</v>
      </c>
      <c r="F19" s="119">
        <v>200000000</v>
      </c>
    </row>
    <row r="20" spans="2:8">
      <c r="B20" s="119">
        <v>40000000</v>
      </c>
      <c r="D20" s="119">
        <v>51226385.93</v>
      </c>
      <c r="F20" s="119">
        <f>SUM(F17:F19)</f>
        <v>828262590.49000001</v>
      </c>
      <c r="G20" s="119">
        <v>836262590.49000001</v>
      </c>
      <c r="H20" s="123">
        <f>G20-F20</f>
        <v>8000000</v>
      </c>
    </row>
    <row r="21" spans="2:8">
      <c r="B21" s="119">
        <v>90000000</v>
      </c>
      <c r="D21" s="119">
        <f>SUM(D18:D20)</f>
        <v>1287247785.9300001</v>
      </c>
    </row>
    <row r="22" spans="2:8">
      <c r="B22" s="119">
        <v>145000000</v>
      </c>
    </row>
    <row r="23" spans="2:8">
      <c r="B23" s="119">
        <v>88427675</v>
      </c>
      <c r="D23" s="119" t="s">
        <v>45</v>
      </c>
    </row>
    <row r="24" spans="2:8">
      <c r="B24" s="119">
        <v>92500000</v>
      </c>
      <c r="D24" s="119">
        <v>12000000</v>
      </c>
      <c r="F24" s="119" t="s">
        <v>90</v>
      </c>
    </row>
    <row r="25" spans="2:8">
      <c r="B25" s="119">
        <v>53135221.25</v>
      </c>
      <c r="D25" s="119">
        <v>48000000</v>
      </c>
      <c r="F25" s="119">
        <v>75000000</v>
      </c>
    </row>
    <row r="26" spans="2:8">
      <c r="B26" s="119">
        <v>28528302.5</v>
      </c>
      <c r="D26" s="119">
        <v>5000000</v>
      </c>
      <c r="F26" s="119">
        <v>3637107</v>
      </c>
    </row>
    <row r="27" spans="2:8">
      <c r="B27" s="119">
        <v>32500000</v>
      </c>
      <c r="D27" s="119">
        <v>12258000</v>
      </c>
      <c r="F27" s="119">
        <v>42688654.939999998</v>
      </c>
    </row>
    <row r="28" spans="2:8">
      <c r="B28" s="119">
        <v>21344327.469999999</v>
      </c>
      <c r="D28" s="119">
        <v>30000000</v>
      </c>
      <c r="F28" s="119">
        <v>94113210</v>
      </c>
    </row>
    <row r="29" spans="2:8">
      <c r="B29" s="119">
        <v>40000000</v>
      </c>
      <c r="D29" s="119">
        <v>323710700</v>
      </c>
      <c r="F29" s="119">
        <v>12806596.48</v>
      </c>
    </row>
    <row r="30" spans="2:8">
      <c r="B30" s="119">
        <v>8000000</v>
      </c>
      <c r="D30" s="119">
        <v>6000000</v>
      </c>
      <c r="F30" s="119">
        <f>SUM(F25:F29)</f>
        <v>228245568.41999999</v>
      </c>
    </row>
    <row r="31" spans="2:8">
      <c r="B31" s="119">
        <v>20000000</v>
      </c>
      <c r="D31" s="119">
        <v>250968560</v>
      </c>
    </row>
    <row r="32" spans="2:8">
      <c r="B32" s="119">
        <v>120000000</v>
      </c>
      <c r="D32" s="119">
        <v>4268865</v>
      </c>
    </row>
    <row r="33" spans="2:6">
      <c r="B33" s="119">
        <v>65000000</v>
      </c>
      <c r="D33" s="119">
        <f>SUM(D24:D32)</f>
        <v>692206125</v>
      </c>
    </row>
    <row r="34" spans="2:6">
      <c r="B34" s="119">
        <f>SUM(B11:B33)</f>
        <v>1349872588.6000001</v>
      </c>
    </row>
    <row r="36" spans="2:6">
      <c r="B36" s="119" t="s">
        <v>41</v>
      </c>
      <c r="D36" s="119" t="s">
        <v>118</v>
      </c>
    </row>
    <row r="37" spans="2:6">
      <c r="B37" s="119">
        <v>950000000</v>
      </c>
      <c r="D37" s="119">
        <v>406131929.63999999</v>
      </c>
    </row>
    <row r="38" spans="2:6">
      <c r="B38" s="119">
        <v>89646175.370000005</v>
      </c>
      <c r="D38" s="119">
        <v>50000000</v>
      </c>
    </row>
    <row r="39" spans="2:6">
      <c r="B39" s="119">
        <v>157948023.28</v>
      </c>
      <c r="D39" s="119">
        <f>SUM(D37:D38)</f>
        <v>456131929.63999999</v>
      </c>
      <c r="E39" s="119">
        <v>236631929</v>
      </c>
      <c r="F39" s="123">
        <f>D39-E39</f>
        <v>219500000.63999999</v>
      </c>
    </row>
    <row r="40" spans="2:6">
      <c r="B40" s="119">
        <v>5000000</v>
      </c>
    </row>
    <row r="41" spans="2:6">
      <c r="B41" s="119">
        <v>7000000</v>
      </c>
    </row>
    <row r="42" spans="2:6">
      <c r="B42" s="119">
        <f>SUM(B37:B41)</f>
        <v>1209594198.6500001</v>
      </c>
      <c r="C42" s="119">
        <v>1475938526.1199999</v>
      </c>
      <c r="D42" s="123">
        <f>C42-B42</f>
        <v>266344327.46999979</v>
      </c>
    </row>
    <row r="44" spans="2:6">
      <c r="B44" s="119" t="s">
        <v>91</v>
      </c>
      <c r="C44" s="119">
        <f>H20+F39+D42</f>
        <v>493844328.10999978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"/>
  <sheetViews>
    <sheetView zoomScale="80" zoomScaleNormal="80" workbookViewId="0">
      <pane ySplit="5" topLeftCell="A6" activePane="bottomLeft" state="frozen"/>
      <selection pane="bottomLeft" activeCell="J46" sqref="J46"/>
    </sheetView>
  </sheetViews>
  <sheetFormatPr baseColWidth="10" defaultRowHeight="15"/>
  <cols>
    <col min="1" max="1" width="3.140625" customWidth="1"/>
    <col min="2" max="2" width="23.7109375" style="2" customWidth="1"/>
    <col min="3" max="3" width="26.7109375" style="8" customWidth="1"/>
    <col min="4" max="4" width="17.7109375" style="10" customWidth="1"/>
    <col min="5" max="5" width="7.7109375" style="3" customWidth="1"/>
    <col min="6" max="6" width="15" style="19" customWidth="1"/>
    <col min="7" max="7" width="7.7109375" style="2" customWidth="1"/>
  </cols>
  <sheetData>
    <row r="1" spans="2:7" ht="18" customHeight="1">
      <c r="B1" s="294" t="s">
        <v>92</v>
      </c>
      <c r="C1" s="294"/>
      <c r="D1" s="294"/>
      <c r="E1" s="294"/>
      <c r="F1" s="294"/>
      <c r="G1" s="294"/>
    </row>
    <row r="2" spans="2:7" ht="18" customHeight="1">
      <c r="B2" s="294" t="s">
        <v>94</v>
      </c>
      <c r="C2" s="294"/>
      <c r="D2" s="294"/>
      <c r="E2" s="294"/>
      <c r="F2" s="294"/>
      <c r="G2" s="294"/>
    </row>
    <row r="3" spans="2:7" ht="18" customHeight="1">
      <c r="B3" s="300"/>
      <c r="C3" s="300"/>
      <c r="D3" s="300"/>
      <c r="E3" s="300"/>
      <c r="F3" s="300"/>
      <c r="G3" s="300"/>
    </row>
    <row r="4" spans="2:7" s="17" customFormat="1" ht="43.5" customHeight="1">
      <c r="B4" s="143" t="s">
        <v>0</v>
      </c>
      <c r="C4" s="15" t="s">
        <v>1</v>
      </c>
      <c r="D4" s="106" t="s">
        <v>8</v>
      </c>
      <c r="E4" s="15"/>
      <c r="F4" s="144" t="s">
        <v>9</v>
      </c>
      <c r="G4" s="16"/>
    </row>
    <row r="5" spans="2:7" s="1" customFormat="1" ht="9" customHeight="1">
      <c r="B5" s="297"/>
      <c r="C5" s="298"/>
      <c r="D5" s="298"/>
      <c r="E5" s="298"/>
      <c r="F5" s="298"/>
      <c r="G5" s="299"/>
    </row>
    <row r="6" spans="2:7" ht="15.95" customHeight="1">
      <c r="B6" s="4" t="s">
        <v>3</v>
      </c>
      <c r="C6" s="9"/>
      <c r="D6" s="11">
        <f>(50+50)</f>
        <v>100</v>
      </c>
      <c r="E6" s="5"/>
      <c r="F6" s="21">
        <v>100</v>
      </c>
      <c r="G6" s="5"/>
    </row>
    <row r="7" spans="2:7" ht="9" customHeight="1">
      <c r="B7" s="270"/>
      <c r="C7" s="271"/>
      <c r="D7" s="271"/>
      <c r="E7" s="271"/>
      <c r="F7" s="271"/>
      <c r="G7" s="272"/>
    </row>
    <row r="8" spans="2:7" ht="30" customHeight="1">
      <c r="B8" s="293" t="s">
        <v>2</v>
      </c>
      <c r="C8" s="9" t="s">
        <v>4</v>
      </c>
      <c r="D8" s="11">
        <v>111</v>
      </c>
      <c r="E8" s="5"/>
      <c r="F8" s="291">
        <f>SUM(D8:D11)/4</f>
        <v>86.5</v>
      </c>
      <c r="G8" s="292"/>
    </row>
    <row r="9" spans="2:7" ht="15.95" customHeight="1">
      <c r="B9" s="293"/>
      <c r="C9" s="9" t="s">
        <v>5</v>
      </c>
      <c r="D9" s="11">
        <v>100</v>
      </c>
      <c r="E9" s="5"/>
      <c r="F9" s="291"/>
      <c r="G9" s="292"/>
    </row>
    <row r="10" spans="2:7" ht="15.95" customHeight="1">
      <c r="B10" s="293"/>
      <c r="C10" s="9" t="s">
        <v>6</v>
      </c>
      <c r="D10" s="11">
        <v>77</v>
      </c>
      <c r="E10" s="7"/>
      <c r="F10" s="291"/>
      <c r="G10" s="292"/>
    </row>
    <row r="11" spans="2:7" ht="27.75" customHeight="1">
      <c r="B11" s="293"/>
      <c r="C11" s="9" t="s">
        <v>7</v>
      </c>
      <c r="D11" s="11">
        <v>58</v>
      </c>
      <c r="E11" s="6"/>
      <c r="F11" s="291"/>
      <c r="G11" s="292"/>
    </row>
    <row r="12" spans="2:7" ht="9" customHeight="1">
      <c r="B12" s="288"/>
      <c r="C12" s="289"/>
      <c r="D12" s="289"/>
      <c r="E12" s="289"/>
      <c r="F12" s="289"/>
      <c r="G12" s="290"/>
    </row>
    <row r="13" spans="2:7" ht="15.95" customHeight="1">
      <c r="B13" s="293" t="s">
        <v>11</v>
      </c>
      <c r="C13" s="9" t="s">
        <v>12</v>
      </c>
      <c r="D13" s="11">
        <v>100</v>
      </c>
      <c r="E13" s="12"/>
      <c r="F13" s="291">
        <f>(D13+D14)/2</f>
        <v>100</v>
      </c>
      <c r="G13" s="295"/>
    </row>
    <row r="14" spans="2:7" ht="15.95" customHeight="1">
      <c r="B14" s="293"/>
      <c r="C14" s="9" t="s">
        <v>13</v>
      </c>
      <c r="D14" s="11">
        <v>100</v>
      </c>
      <c r="E14" s="12"/>
      <c r="F14" s="291"/>
      <c r="G14" s="296"/>
    </row>
    <row r="15" spans="2:7" ht="9" customHeight="1">
      <c r="B15" s="288"/>
      <c r="C15" s="289"/>
      <c r="D15" s="289"/>
      <c r="E15" s="289"/>
      <c r="F15" s="289"/>
      <c r="G15" s="290"/>
    </row>
    <row r="16" spans="2:7" ht="27" customHeight="1">
      <c r="B16" s="293" t="s">
        <v>14</v>
      </c>
      <c r="C16" s="9" t="s">
        <v>15</v>
      </c>
      <c r="D16" s="11">
        <v>83</v>
      </c>
      <c r="E16" s="128"/>
      <c r="F16" s="291">
        <f>SUM(D16:D19)/4</f>
        <v>84</v>
      </c>
      <c r="G16" s="282"/>
    </row>
    <row r="17" spans="2:7" ht="27" customHeight="1">
      <c r="B17" s="293"/>
      <c r="C17" s="9" t="s">
        <v>93</v>
      </c>
      <c r="D17" s="11">
        <v>104</v>
      </c>
      <c r="E17" s="12"/>
      <c r="F17" s="291"/>
      <c r="G17" s="283"/>
    </row>
    <row r="18" spans="2:7" ht="15.95" customHeight="1">
      <c r="B18" s="293"/>
      <c r="C18" s="9" t="s">
        <v>17</v>
      </c>
      <c r="D18" s="11">
        <v>89</v>
      </c>
      <c r="E18" s="128"/>
      <c r="F18" s="291"/>
      <c r="G18" s="283"/>
    </row>
    <row r="19" spans="2:7" ht="15.95" customHeight="1">
      <c r="B19" s="293"/>
      <c r="C19" s="9" t="s">
        <v>18</v>
      </c>
      <c r="D19" s="11">
        <v>60</v>
      </c>
      <c r="E19" s="128"/>
      <c r="F19" s="291"/>
      <c r="G19" s="284"/>
    </row>
    <row r="20" spans="2:7" ht="9" customHeight="1">
      <c r="B20" s="270"/>
      <c r="C20" s="271"/>
      <c r="D20" s="271"/>
      <c r="E20" s="271"/>
      <c r="F20" s="271"/>
      <c r="G20" s="272"/>
    </row>
    <row r="21" spans="2:7" ht="15.95" customHeight="1">
      <c r="B21" s="285" t="s">
        <v>19</v>
      </c>
      <c r="C21" s="9" t="s">
        <v>20</v>
      </c>
      <c r="D21" s="11">
        <v>114</v>
      </c>
      <c r="E21" s="12"/>
      <c r="F21" s="279">
        <f>SUM(D21:D32)/12</f>
        <v>93.416666666666671</v>
      </c>
      <c r="G21" s="282"/>
    </row>
    <row r="22" spans="2:7" ht="15.95" customHeight="1">
      <c r="B22" s="286"/>
      <c r="C22" s="9" t="s">
        <v>21</v>
      </c>
      <c r="D22" s="11">
        <v>77</v>
      </c>
      <c r="E22" s="13"/>
      <c r="F22" s="280"/>
      <c r="G22" s="283"/>
    </row>
    <row r="23" spans="2:7" ht="15.95" customHeight="1">
      <c r="B23" s="286"/>
      <c r="C23" s="9" t="s">
        <v>22</v>
      </c>
      <c r="D23" s="11">
        <v>100</v>
      </c>
      <c r="E23" s="12"/>
      <c r="F23" s="280"/>
      <c r="G23" s="283"/>
    </row>
    <row r="24" spans="2:7" ht="15.95" customHeight="1">
      <c r="B24" s="286"/>
      <c r="C24" s="9" t="s">
        <v>23</v>
      </c>
      <c r="D24" s="11">
        <v>100</v>
      </c>
      <c r="E24" s="12"/>
      <c r="F24" s="280"/>
      <c r="G24" s="283"/>
    </row>
    <row r="25" spans="2:7" ht="15.95" customHeight="1">
      <c r="B25" s="286"/>
      <c r="C25" s="9" t="s">
        <v>24</v>
      </c>
      <c r="D25" s="11">
        <v>94</v>
      </c>
      <c r="E25" s="13"/>
      <c r="F25" s="280"/>
      <c r="G25" s="283"/>
    </row>
    <row r="26" spans="2:7" ht="15.95" customHeight="1">
      <c r="B26" s="286"/>
      <c r="C26" s="9" t="s">
        <v>25</v>
      </c>
      <c r="D26" s="11">
        <v>97</v>
      </c>
      <c r="E26" s="13"/>
      <c r="F26" s="280"/>
      <c r="G26" s="283"/>
    </row>
    <row r="27" spans="2:7" ht="15.95" customHeight="1">
      <c r="B27" s="286"/>
      <c r="C27" s="9" t="s">
        <v>26</v>
      </c>
      <c r="D27" s="11">
        <v>96</v>
      </c>
      <c r="E27" s="23"/>
      <c r="F27" s="280"/>
      <c r="G27" s="283"/>
    </row>
    <row r="28" spans="2:7" ht="29.25" customHeight="1">
      <c r="B28" s="286"/>
      <c r="C28" s="9" t="s">
        <v>27</v>
      </c>
      <c r="D28" s="11">
        <v>98</v>
      </c>
      <c r="E28" s="18"/>
      <c r="F28" s="280"/>
      <c r="G28" s="283"/>
    </row>
    <row r="29" spans="2:7" ht="15.95" customHeight="1">
      <c r="B29" s="286"/>
      <c r="C29" s="9" t="s">
        <v>28</v>
      </c>
      <c r="D29" s="11">
        <v>101</v>
      </c>
      <c r="E29" s="12"/>
      <c r="F29" s="280"/>
      <c r="G29" s="283"/>
    </row>
    <row r="30" spans="2:7" ht="15.95" customHeight="1">
      <c r="B30" s="286"/>
      <c r="C30" s="9" t="s">
        <v>29</v>
      </c>
      <c r="D30" s="11">
        <v>71</v>
      </c>
      <c r="E30" s="18"/>
      <c r="F30" s="280"/>
      <c r="G30" s="283"/>
    </row>
    <row r="31" spans="2:7" ht="15.95" customHeight="1">
      <c r="B31" s="286"/>
      <c r="C31" s="9" t="s">
        <v>30</v>
      </c>
      <c r="D31" s="11">
        <v>81</v>
      </c>
      <c r="E31" s="18"/>
      <c r="F31" s="280"/>
      <c r="G31" s="283"/>
    </row>
    <row r="32" spans="2:7" ht="15.95" customHeight="1">
      <c r="B32" s="287"/>
      <c r="C32" s="9" t="s">
        <v>31</v>
      </c>
      <c r="D32" s="11">
        <v>92</v>
      </c>
      <c r="E32" s="140"/>
      <c r="F32" s="281"/>
      <c r="G32" s="284"/>
    </row>
    <row r="33" spans="2:7" ht="9" customHeight="1">
      <c r="B33" s="270"/>
      <c r="C33" s="271"/>
      <c r="D33" s="271"/>
      <c r="E33" s="271"/>
      <c r="F33" s="271"/>
      <c r="G33" s="272"/>
    </row>
    <row r="34" spans="2:7" ht="26.25" customHeight="1">
      <c r="B34" s="285" t="s">
        <v>32</v>
      </c>
      <c r="C34" s="9" t="s">
        <v>33</v>
      </c>
      <c r="D34" s="11">
        <v>43</v>
      </c>
      <c r="E34" s="14"/>
      <c r="F34" s="279">
        <f>SUM(D34:D39)/6</f>
        <v>67.333333333333329</v>
      </c>
      <c r="G34" s="282"/>
    </row>
    <row r="35" spans="2:7" ht="15.95" customHeight="1">
      <c r="B35" s="286"/>
      <c r="C35" s="9" t="s">
        <v>34</v>
      </c>
      <c r="D35" s="11">
        <v>89</v>
      </c>
      <c r="E35" s="18"/>
      <c r="F35" s="280"/>
      <c r="G35" s="283"/>
    </row>
    <row r="36" spans="2:7" ht="15.95" customHeight="1">
      <c r="B36" s="286"/>
      <c r="C36" s="9" t="s">
        <v>35</v>
      </c>
      <c r="D36" s="11">
        <v>75</v>
      </c>
      <c r="E36" s="128"/>
      <c r="F36" s="280"/>
      <c r="G36" s="283"/>
    </row>
    <row r="37" spans="2:7" ht="27.75" customHeight="1">
      <c r="B37" s="286"/>
      <c r="C37" s="9" t="s">
        <v>36</v>
      </c>
      <c r="D37" s="11">
        <v>82</v>
      </c>
      <c r="E37" s="18"/>
      <c r="F37" s="280"/>
      <c r="G37" s="283"/>
    </row>
    <row r="38" spans="2:7" ht="27" customHeight="1">
      <c r="B38" s="286"/>
      <c r="C38" s="9" t="s">
        <v>37</v>
      </c>
      <c r="D38" s="11">
        <v>65</v>
      </c>
      <c r="E38" s="128"/>
      <c r="F38" s="280"/>
      <c r="G38" s="283"/>
    </row>
    <row r="39" spans="2:7" ht="15.95" customHeight="1">
      <c r="B39" s="287"/>
      <c r="C39" s="9" t="s">
        <v>38</v>
      </c>
      <c r="D39" s="11">
        <v>50</v>
      </c>
      <c r="E39" s="14"/>
      <c r="F39" s="281"/>
      <c r="G39" s="284"/>
    </row>
    <row r="40" spans="2:7" ht="9" customHeight="1">
      <c r="B40" s="270"/>
      <c r="C40" s="271"/>
      <c r="D40" s="271"/>
      <c r="E40" s="271"/>
      <c r="F40" s="271"/>
      <c r="G40" s="272"/>
    </row>
    <row r="41" spans="2:7" ht="27.75" customHeight="1">
      <c r="B41" s="276" t="s">
        <v>39</v>
      </c>
      <c r="C41" s="9" t="s">
        <v>40</v>
      </c>
      <c r="D41" s="11">
        <v>75</v>
      </c>
      <c r="E41" s="18"/>
      <c r="F41" s="279">
        <f>SUM(D41:D50)/10</f>
        <v>71.900000000000006</v>
      </c>
      <c r="G41" s="282"/>
    </row>
    <row r="42" spans="2:7" ht="15.95" customHeight="1">
      <c r="B42" s="277"/>
      <c r="C42" s="9" t="s">
        <v>41</v>
      </c>
      <c r="D42" s="11">
        <v>100</v>
      </c>
      <c r="E42" s="12"/>
      <c r="F42" s="280"/>
      <c r="G42" s="283"/>
    </row>
    <row r="43" spans="2:7" ht="26.25" customHeight="1">
      <c r="B43" s="277"/>
      <c r="C43" s="9" t="s">
        <v>42</v>
      </c>
      <c r="D43" s="11">
        <v>133</v>
      </c>
      <c r="E43" s="12"/>
      <c r="F43" s="280"/>
      <c r="G43" s="283"/>
    </row>
    <row r="44" spans="2:7" ht="15.95" customHeight="1">
      <c r="B44" s="277"/>
      <c r="C44" s="9" t="s">
        <v>43</v>
      </c>
      <c r="D44" s="11">
        <v>0</v>
      </c>
      <c r="E44" s="14"/>
      <c r="F44" s="280"/>
      <c r="G44" s="283"/>
    </row>
    <row r="45" spans="2:7" ht="27" customHeight="1">
      <c r="B45" s="277"/>
      <c r="C45" s="9" t="s">
        <v>44</v>
      </c>
      <c r="D45" s="11">
        <v>83</v>
      </c>
      <c r="E45" s="128"/>
      <c r="F45" s="280"/>
      <c r="G45" s="283"/>
    </row>
    <row r="46" spans="2:7" ht="29.25" customHeight="1">
      <c r="B46" s="277"/>
      <c r="C46" s="9" t="s">
        <v>45</v>
      </c>
      <c r="D46" s="11">
        <v>53</v>
      </c>
      <c r="E46" s="14"/>
      <c r="F46" s="280"/>
      <c r="G46" s="283"/>
    </row>
    <row r="47" spans="2:7" ht="30" customHeight="1">
      <c r="B47" s="277"/>
      <c r="C47" s="9" t="s">
        <v>46</v>
      </c>
      <c r="D47" s="11">
        <v>90</v>
      </c>
      <c r="E47" s="128"/>
      <c r="F47" s="280"/>
      <c r="G47" s="283"/>
    </row>
    <row r="48" spans="2:7" ht="15.95" customHeight="1">
      <c r="B48" s="277"/>
      <c r="C48" s="9" t="s">
        <v>47</v>
      </c>
      <c r="D48" s="11">
        <v>0</v>
      </c>
      <c r="E48" s="14"/>
      <c r="F48" s="280"/>
      <c r="G48" s="283"/>
    </row>
    <row r="49" spans="2:7" ht="26.25" customHeight="1">
      <c r="B49" s="277"/>
      <c r="C49" s="9" t="s">
        <v>48</v>
      </c>
      <c r="D49" s="11">
        <v>102</v>
      </c>
      <c r="E49" s="12"/>
      <c r="F49" s="280"/>
      <c r="G49" s="283"/>
    </row>
    <row r="50" spans="2:7" ht="15.95" customHeight="1">
      <c r="B50" s="278"/>
      <c r="C50" s="9" t="s">
        <v>49</v>
      </c>
      <c r="D50" s="11">
        <v>83</v>
      </c>
      <c r="E50" s="128"/>
      <c r="F50" s="281"/>
      <c r="G50" s="284"/>
    </row>
    <row r="51" spans="2:7" ht="9" customHeight="1">
      <c r="B51" s="270"/>
      <c r="C51" s="271"/>
      <c r="D51" s="271"/>
      <c r="E51" s="271"/>
      <c r="F51" s="271"/>
      <c r="G51" s="272"/>
    </row>
    <row r="52" spans="2:7" ht="15.95" customHeight="1">
      <c r="B52" s="273" t="s">
        <v>99</v>
      </c>
      <c r="C52" s="274"/>
      <c r="D52" s="274"/>
      <c r="E52" s="275"/>
      <c r="F52" s="22">
        <f>SUM(F6+F8+F13+F16+F21+F34+F41)/7</f>
        <v>86.164285714285711</v>
      </c>
      <c r="G52" s="7"/>
    </row>
  </sheetData>
  <mergeCells count="30">
    <mergeCell ref="B1:G1"/>
    <mergeCell ref="B2:G2"/>
    <mergeCell ref="F13:F14"/>
    <mergeCell ref="G13:G14"/>
    <mergeCell ref="B13:B14"/>
    <mergeCell ref="B5:G5"/>
    <mergeCell ref="B7:G7"/>
    <mergeCell ref="B12:G12"/>
    <mergeCell ref="B3:G3"/>
    <mergeCell ref="B15:G15"/>
    <mergeCell ref="F8:F11"/>
    <mergeCell ref="G8:G11"/>
    <mergeCell ref="B8:B11"/>
    <mergeCell ref="B20:G20"/>
    <mergeCell ref="B16:B19"/>
    <mergeCell ref="F16:F19"/>
    <mergeCell ref="G16:G19"/>
    <mergeCell ref="B33:G33"/>
    <mergeCell ref="B34:B39"/>
    <mergeCell ref="F34:F39"/>
    <mergeCell ref="G34:G39"/>
    <mergeCell ref="B21:B32"/>
    <mergeCell ref="F21:F32"/>
    <mergeCell ref="G21:G32"/>
    <mergeCell ref="B51:G51"/>
    <mergeCell ref="B52:E52"/>
    <mergeCell ref="B40:G40"/>
    <mergeCell ref="B41:B50"/>
    <mergeCell ref="F41:F50"/>
    <mergeCell ref="G41:G50"/>
  </mergeCells>
  <pageMargins left="0.70866141732283472" right="0.70866141732283472" top="0.74803149606299213" bottom="0.74803149606299213" header="0.31496062992125984" footer="0.31496062992125984"/>
  <pageSetup scale="9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5"/>
  <sheetViews>
    <sheetView topLeftCell="A22" zoomScale="80" zoomScaleNormal="80" workbookViewId="0">
      <selection activeCell="L22" sqref="L22"/>
    </sheetView>
  </sheetViews>
  <sheetFormatPr baseColWidth="10" defaultRowHeight="15"/>
  <cols>
    <col min="1" max="1" width="23.7109375" style="2" customWidth="1"/>
    <col min="2" max="2" width="26.7109375" style="8" customWidth="1"/>
    <col min="3" max="3" width="9.42578125" style="10" customWidth="1"/>
    <col min="4" max="4" width="7.5703125" style="8" customWidth="1"/>
    <col min="5" max="5" width="8.42578125" style="8" customWidth="1"/>
    <col min="6" max="6" width="6.85546875" style="8" customWidth="1"/>
    <col min="7" max="7" width="9.7109375" style="10" customWidth="1"/>
    <col min="8" max="8" width="7.7109375" style="3" customWidth="1"/>
    <col min="9" max="9" width="8.7109375" style="19" customWidth="1"/>
    <col min="10" max="10" width="7.7109375" style="2" customWidth="1"/>
    <col min="11" max="11" width="3.42578125" customWidth="1"/>
    <col min="12" max="12" width="16" style="10" customWidth="1"/>
    <col min="13" max="13" width="7.7109375" style="3" customWidth="1"/>
    <col min="14" max="14" width="13.7109375" style="19" customWidth="1"/>
    <col min="15" max="15" width="7.7109375" style="2" customWidth="1"/>
  </cols>
  <sheetData>
    <row r="1" spans="1:15" ht="18" customHeight="1">
      <c r="A1" s="301" t="s">
        <v>92</v>
      </c>
      <c r="B1" s="301"/>
      <c r="C1" s="301"/>
      <c r="D1" s="301"/>
      <c r="E1" s="301"/>
      <c r="F1" s="301"/>
      <c r="G1" s="301"/>
      <c r="H1" s="301"/>
      <c r="I1" s="301"/>
      <c r="J1" s="301"/>
      <c r="L1"/>
      <c r="M1"/>
      <c r="N1"/>
      <c r="O1"/>
    </row>
    <row r="2" spans="1:15" ht="18" customHeight="1">
      <c r="A2" s="301" t="s">
        <v>94</v>
      </c>
      <c r="B2" s="301"/>
      <c r="C2" s="301"/>
      <c r="D2" s="301"/>
      <c r="E2" s="301"/>
      <c r="F2" s="301"/>
      <c r="G2" s="301"/>
      <c r="H2" s="301"/>
      <c r="I2" s="301"/>
      <c r="J2" s="301"/>
      <c r="L2"/>
      <c r="M2"/>
      <c r="N2"/>
      <c r="O2"/>
    </row>
    <row r="3" spans="1:15" ht="18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L3"/>
      <c r="M3"/>
      <c r="N3"/>
      <c r="O3"/>
    </row>
    <row r="4" spans="1:15" ht="18" customHeight="1">
      <c r="C4" s="305" t="s">
        <v>96</v>
      </c>
      <c r="D4" s="305"/>
      <c r="E4" s="305"/>
      <c r="F4" s="305"/>
      <c r="G4" s="305" t="s">
        <v>97</v>
      </c>
      <c r="H4" s="305"/>
      <c r="I4" s="305"/>
      <c r="J4" s="305"/>
      <c r="L4" s="305" t="s">
        <v>98</v>
      </c>
      <c r="M4" s="305"/>
      <c r="N4" s="305"/>
      <c r="O4" s="305"/>
    </row>
    <row r="5" spans="1:15" s="17" customFormat="1" ht="43.5" customHeight="1">
      <c r="A5" s="134" t="s">
        <v>0</v>
      </c>
      <c r="B5" s="134" t="s">
        <v>1</v>
      </c>
      <c r="C5" s="134" t="s">
        <v>8</v>
      </c>
      <c r="D5" s="134"/>
      <c r="E5" s="20" t="s">
        <v>9</v>
      </c>
      <c r="F5" s="134"/>
      <c r="G5" s="134" t="s">
        <v>8</v>
      </c>
      <c r="H5" s="134"/>
      <c r="I5" s="20" t="s">
        <v>9</v>
      </c>
      <c r="J5" s="16"/>
      <c r="L5" s="134" t="s">
        <v>8</v>
      </c>
      <c r="M5" s="134"/>
      <c r="N5" s="20" t="s">
        <v>9</v>
      </c>
      <c r="O5" s="16"/>
    </row>
    <row r="6" spans="1:15" s="1" customFormat="1" ht="15.9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5" ht="15.95" customHeight="1">
      <c r="A7" s="4" t="s">
        <v>3</v>
      </c>
      <c r="B7" s="131"/>
      <c r="C7" s="133">
        <v>50</v>
      </c>
      <c r="D7" s="5"/>
      <c r="E7" s="133">
        <f>C7/1</f>
        <v>50</v>
      </c>
      <c r="F7" s="47"/>
      <c r="G7" s="135">
        <v>50</v>
      </c>
      <c r="H7" s="5"/>
      <c r="I7" s="130">
        <v>100</v>
      </c>
      <c r="J7" s="5"/>
      <c r="L7" s="135">
        <f>(50+50)</f>
        <v>100</v>
      </c>
      <c r="M7" s="5"/>
      <c r="N7" s="130">
        <v>100</v>
      </c>
      <c r="O7" s="5"/>
    </row>
    <row r="8" spans="1:15" ht="15.95" customHeight="1">
      <c r="A8" s="270"/>
      <c r="B8" s="271"/>
      <c r="C8" s="271"/>
      <c r="D8" s="271"/>
      <c r="E8" s="271"/>
      <c r="F8" s="271"/>
      <c r="G8" s="271"/>
      <c r="H8" s="271"/>
      <c r="I8" s="271"/>
      <c r="J8" s="272"/>
      <c r="L8"/>
      <c r="M8"/>
      <c r="N8"/>
      <c r="O8"/>
    </row>
    <row r="9" spans="1:15" ht="30.75" customHeight="1">
      <c r="A9" s="293" t="s">
        <v>2</v>
      </c>
      <c r="B9" s="131" t="s">
        <v>4</v>
      </c>
      <c r="C9" s="135">
        <v>78</v>
      </c>
      <c r="D9" s="47"/>
      <c r="E9" s="306">
        <f>SUM(C9:C12)/4</f>
        <v>44.375</v>
      </c>
      <c r="F9" s="302"/>
      <c r="G9" s="135">
        <v>59</v>
      </c>
      <c r="H9" s="5"/>
      <c r="I9" s="291">
        <f>SUM(G9:G12)/4</f>
        <v>48.5</v>
      </c>
      <c r="J9" s="292"/>
      <c r="L9" s="135">
        <v>111</v>
      </c>
      <c r="M9" s="5"/>
      <c r="N9" s="291">
        <f>SUM(L9:L12)/4</f>
        <v>86.375</v>
      </c>
      <c r="O9" s="292"/>
    </row>
    <row r="10" spans="1:15" ht="15.95" customHeight="1">
      <c r="A10" s="293"/>
      <c r="B10" s="131" t="s">
        <v>5</v>
      </c>
      <c r="C10" s="135">
        <v>50</v>
      </c>
      <c r="D10" s="47"/>
      <c r="E10" s="306"/>
      <c r="F10" s="303"/>
      <c r="G10" s="135">
        <v>50</v>
      </c>
      <c r="H10" s="5"/>
      <c r="I10" s="291"/>
      <c r="J10" s="292"/>
      <c r="L10" s="135">
        <v>100</v>
      </c>
      <c r="M10" s="5"/>
      <c r="N10" s="291"/>
      <c r="O10" s="292"/>
    </row>
    <row r="11" spans="1:15" ht="15.95" customHeight="1">
      <c r="A11" s="293"/>
      <c r="B11" s="131" t="s">
        <v>6</v>
      </c>
      <c r="C11" s="135">
        <v>24.5</v>
      </c>
      <c r="D11" s="48"/>
      <c r="E11" s="306"/>
      <c r="F11" s="303"/>
      <c r="G11" s="135">
        <v>52</v>
      </c>
      <c r="H11" s="5"/>
      <c r="I11" s="291"/>
      <c r="J11" s="292"/>
      <c r="L11" s="141">
        <f>C11+G11</f>
        <v>76.5</v>
      </c>
      <c r="M11" s="7"/>
      <c r="N11" s="291"/>
      <c r="O11" s="292"/>
    </row>
    <row r="12" spans="1:15" ht="27.75" customHeight="1">
      <c r="A12" s="293"/>
      <c r="B12" s="131" t="s">
        <v>7</v>
      </c>
      <c r="C12" s="135">
        <v>25</v>
      </c>
      <c r="D12" s="48"/>
      <c r="E12" s="306"/>
      <c r="F12" s="304"/>
      <c r="G12" s="135">
        <v>33</v>
      </c>
      <c r="H12" s="7"/>
      <c r="I12" s="291"/>
      <c r="J12" s="292"/>
      <c r="L12" s="135">
        <v>58</v>
      </c>
      <c r="M12" s="6"/>
      <c r="N12" s="291"/>
      <c r="O12" s="292"/>
    </row>
    <row r="13" spans="1:15" ht="15.95" customHeight="1">
      <c r="A13" s="288"/>
      <c r="B13" s="289"/>
      <c r="C13" s="289"/>
      <c r="D13" s="289"/>
      <c r="E13" s="289"/>
      <c r="F13" s="289"/>
      <c r="G13" s="289"/>
      <c r="H13" s="289"/>
      <c r="I13" s="289"/>
      <c r="J13" s="290"/>
      <c r="L13"/>
      <c r="M13"/>
      <c r="N13"/>
      <c r="O13"/>
    </row>
    <row r="14" spans="1:15" ht="15.95" customHeight="1">
      <c r="A14" s="293" t="s">
        <v>11</v>
      </c>
      <c r="B14" s="131" t="s">
        <v>12</v>
      </c>
      <c r="C14" s="135">
        <v>50</v>
      </c>
      <c r="D14" s="47"/>
      <c r="E14" s="312">
        <f>SUM(C14:C15)/2</f>
        <v>50</v>
      </c>
      <c r="F14" s="317"/>
      <c r="G14" s="135">
        <v>100</v>
      </c>
      <c r="H14" s="12"/>
      <c r="I14" s="291">
        <f>(G14+G15)/2</f>
        <v>100</v>
      </c>
      <c r="J14" s="295"/>
      <c r="L14" s="135">
        <v>100</v>
      </c>
      <c r="M14" s="12"/>
      <c r="N14" s="291">
        <f>(L14+L15)/2</f>
        <v>100</v>
      </c>
      <c r="O14" s="295"/>
    </row>
    <row r="15" spans="1:15" ht="15.95" customHeight="1">
      <c r="A15" s="293"/>
      <c r="B15" s="131" t="s">
        <v>13</v>
      </c>
      <c r="C15" s="135">
        <v>50</v>
      </c>
      <c r="D15" s="47"/>
      <c r="E15" s="313"/>
      <c r="F15" s="317"/>
      <c r="G15" s="135">
        <v>100</v>
      </c>
      <c r="H15" s="12"/>
      <c r="I15" s="291"/>
      <c r="J15" s="296"/>
      <c r="L15" s="135">
        <v>100</v>
      </c>
      <c r="M15" s="12"/>
      <c r="N15" s="291"/>
      <c r="O15" s="296"/>
    </row>
    <row r="16" spans="1:15" ht="15.95" customHeight="1">
      <c r="A16" s="288"/>
      <c r="B16" s="289"/>
      <c r="C16" s="289"/>
      <c r="D16" s="289"/>
      <c r="E16" s="289"/>
      <c r="F16" s="289"/>
      <c r="G16" s="289"/>
      <c r="H16" s="289"/>
      <c r="I16" s="289"/>
      <c r="J16" s="290"/>
      <c r="L16"/>
      <c r="M16"/>
      <c r="N16"/>
      <c r="O16"/>
    </row>
    <row r="17" spans="1:15" ht="27" customHeight="1">
      <c r="A17" s="293" t="s">
        <v>14</v>
      </c>
      <c r="B17" s="131" t="s">
        <v>15</v>
      </c>
      <c r="C17" s="135">
        <f>(50*50)/100</f>
        <v>25</v>
      </c>
      <c r="D17" s="48"/>
      <c r="E17" s="314">
        <f>SUM(C17:C20)/4</f>
        <v>28.625</v>
      </c>
      <c r="F17" s="318"/>
      <c r="G17" s="135">
        <f>44+14</f>
        <v>58</v>
      </c>
      <c r="H17" s="12"/>
      <c r="I17" s="291">
        <f>SUM(G17:G20)/4</f>
        <v>55.25</v>
      </c>
      <c r="J17" s="282"/>
      <c r="L17" s="135">
        <f>C17+G17</f>
        <v>83</v>
      </c>
      <c r="M17" s="132"/>
      <c r="N17" s="291">
        <f>SUM(L17:L20)/4</f>
        <v>83.875</v>
      </c>
      <c r="O17" s="282"/>
    </row>
    <row r="18" spans="1:15" ht="27" customHeight="1">
      <c r="A18" s="293"/>
      <c r="B18" s="131" t="s">
        <v>93</v>
      </c>
      <c r="C18" s="135">
        <f>(79*50)/100</f>
        <v>39.5</v>
      </c>
      <c r="D18" s="136"/>
      <c r="E18" s="315"/>
      <c r="F18" s="318"/>
      <c r="G18" s="135">
        <v>64</v>
      </c>
      <c r="H18" s="12"/>
      <c r="I18" s="291"/>
      <c r="J18" s="283"/>
      <c r="L18" s="142">
        <f>C18+G18</f>
        <v>103.5</v>
      </c>
      <c r="M18" s="12"/>
      <c r="N18" s="291"/>
      <c r="O18" s="283"/>
    </row>
    <row r="19" spans="1:15" ht="15.95" customHeight="1">
      <c r="A19" s="293"/>
      <c r="B19" s="131" t="s">
        <v>17</v>
      </c>
      <c r="C19" s="135">
        <v>50</v>
      </c>
      <c r="D19" s="47"/>
      <c r="E19" s="315"/>
      <c r="F19" s="318"/>
      <c r="G19" s="135">
        <v>39</v>
      </c>
      <c r="H19" s="132"/>
      <c r="I19" s="291"/>
      <c r="J19" s="283"/>
      <c r="L19" s="138">
        <f>C19+G19</f>
        <v>89</v>
      </c>
      <c r="M19" s="132"/>
      <c r="N19" s="291"/>
      <c r="O19" s="283"/>
    </row>
    <row r="20" spans="1:15" ht="15.95" customHeight="1">
      <c r="A20" s="293"/>
      <c r="B20" s="131" t="s">
        <v>18</v>
      </c>
      <c r="C20" s="135">
        <v>0</v>
      </c>
      <c r="D20" s="48"/>
      <c r="E20" s="316"/>
      <c r="F20" s="319"/>
      <c r="G20" s="135">
        <v>60</v>
      </c>
      <c r="H20" s="12"/>
      <c r="I20" s="291"/>
      <c r="J20" s="284"/>
      <c r="L20" s="138">
        <f>C20+G20</f>
        <v>60</v>
      </c>
      <c r="M20" s="132"/>
      <c r="N20" s="291"/>
      <c r="O20" s="284"/>
    </row>
    <row r="21" spans="1:15" ht="15.95" customHeight="1">
      <c r="A21" s="270"/>
      <c r="B21" s="271"/>
      <c r="C21" s="271"/>
      <c r="D21" s="271"/>
      <c r="E21" s="271"/>
      <c r="F21" s="271"/>
      <c r="G21" s="271"/>
      <c r="H21" s="271"/>
      <c r="I21" s="271"/>
      <c r="J21" s="272"/>
      <c r="L21"/>
      <c r="M21"/>
      <c r="N21"/>
      <c r="O21"/>
    </row>
    <row r="22" spans="1:15" ht="15.95" customHeight="1">
      <c r="A22" s="285" t="s">
        <v>19</v>
      </c>
      <c r="B22" s="131" t="s">
        <v>20</v>
      </c>
      <c r="C22" s="135">
        <v>45</v>
      </c>
      <c r="D22" s="139"/>
      <c r="E22" s="306">
        <f>SUM(C22:C33)/12</f>
        <v>48</v>
      </c>
      <c r="F22" s="308"/>
      <c r="G22" s="135">
        <v>69</v>
      </c>
      <c r="H22" s="12"/>
      <c r="I22" s="279">
        <f>SUM(G22:G33)/12</f>
        <v>45.333333333333336</v>
      </c>
      <c r="J22" s="282"/>
      <c r="L22" s="138">
        <f t="shared" ref="L22:L51" si="0">C22+G22</f>
        <v>114</v>
      </c>
      <c r="M22" s="12"/>
      <c r="N22" s="279">
        <f>SUM(L22:L33)/12</f>
        <v>93.333333333333329</v>
      </c>
      <c r="O22" s="282"/>
    </row>
    <row r="23" spans="1:15" ht="15.95" customHeight="1">
      <c r="A23" s="286"/>
      <c r="B23" s="131" t="s">
        <v>21</v>
      </c>
      <c r="C23" s="135">
        <v>36</v>
      </c>
      <c r="D23" s="136"/>
      <c r="E23" s="306"/>
      <c r="F23" s="309"/>
      <c r="G23" s="135">
        <v>40</v>
      </c>
      <c r="H23" s="132"/>
      <c r="I23" s="280"/>
      <c r="J23" s="283"/>
      <c r="L23" s="138">
        <f t="shared" si="0"/>
        <v>76</v>
      </c>
      <c r="M23" s="132"/>
      <c r="N23" s="280"/>
      <c r="O23" s="283"/>
    </row>
    <row r="24" spans="1:15" ht="15.95" customHeight="1">
      <c r="A24" s="286"/>
      <c r="B24" s="131" t="s">
        <v>22</v>
      </c>
      <c r="C24" s="135">
        <v>50</v>
      </c>
      <c r="D24" s="47"/>
      <c r="E24" s="306"/>
      <c r="F24" s="309"/>
      <c r="G24" s="135">
        <v>50</v>
      </c>
      <c r="H24" s="12"/>
      <c r="I24" s="280"/>
      <c r="J24" s="283"/>
      <c r="L24" s="138">
        <f t="shared" si="0"/>
        <v>100</v>
      </c>
      <c r="M24" s="12"/>
      <c r="N24" s="280"/>
      <c r="O24" s="283"/>
    </row>
    <row r="25" spans="1:15" ht="15.95" customHeight="1">
      <c r="A25" s="286"/>
      <c r="B25" s="131" t="s">
        <v>23</v>
      </c>
      <c r="C25" s="135">
        <v>50</v>
      </c>
      <c r="D25" s="47"/>
      <c r="E25" s="306"/>
      <c r="F25" s="309"/>
      <c r="G25" s="135">
        <v>50</v>
      </c>
      <c r="H25" s="12"/>
      <c r="I25" s="280"/>
      <c r="J25" s="283"/>
      <c r="L25" s="138">
        <f t="shared" si="0"/>
        <v>100</v>
      </c>
      <c r="M25" s="12"/>
      <c r="N25" s="280"/>
      <c r="O25" s="283"/>
    </row>
    <row r="26" spans="1:15" ht="15.95" customHeight="1">
      <c r="A26" s="286"/>
      <c r="B26" s="131" t="s">
        <v>24</v>
      </c>
      <c r="C26" s="135">
        <v>48</v>
      </c>
      <c r="D26" s="136"/>
      <c r="E26" s="306"/>
      <c r="F26" s="309"/>
      <c r="G26" s="135">
        <v>46</v>
      </c>
      <c r="H26" s="132"/>
      <c r="I26" s="280"/>
      <c r="J26" s="283"/>
      <c r="L26" s="138">
        <f t="shared" si="0"/>
        <v>94</v>
      </c>
      <c r="M26" s="132"/>
      <c r="N26" s="280"/>
      <c r="O26" s="283"/>
    </row>
    <row r="27" spans="1:15" ht="15.95" customHeight="1">
      <c r="A27" s="286"/>
      <c r="B27" s="131" t="s">
        <v>25</v>
      </c>
      <c r="C27" s="135">
        <f>(94*50)/100</f>
        <v>47</v>
      </c>
      <c r="D27" s="136"/>
      <c r="E27" s="306"/>
      <c r="F27" s="309"/>
      <c r="G27" s="135">
        <v>50</v>
      </c>
      <c r="H27" s="12"/>
      <c r="I27" s="280"/>
      <c r="J27" s="283"/>
      <c r="L27" s="138">
        <f t="shared" si="0"/>
        <v>97</v>
      </c>
      <c r="M27" s="132"/>
      <c r="N27" s="280"/>
      <c r="O27" s="283"/>
    </row>
    <row r="28" spans="1:15" ht="15.95" customHeight="1">
      <c r="A28" s="286"/>
      <c r="B28" s="131" t="s">
        <v>26</v>
      </c>
      <c r="C28" s="135">
        <v>52</v>
      </c>
      <c r="D28" s="47"/>
      <c r="E28" s="306"/>
      <c r="F28" s="309"/>
      <c r="G28" s="135">
        <v>44</v>
      </c>
      <c r="H28" s="132"/>
      <c r="I28" s="280"/>
      <c r="J28" s="283"/>
      <c r="L28" s="138">
        <f t="shared" si="0"/>
        <v>96</v>
      </c>
      <c r="M28" s="132"/>
      <c r="N28" s="280"/>
      <c r="O28" s="283"/>
    </row>
    <row r="29" spans="1:15" ht="30.75" customHeight="1">
      <c r="A29" s="286"/>
      <c r="B29" s="131" t="s">
        <v>27</v>
      </c>
      <c r="C29" s="135">
        <v>40</v>
      </c>
      <c r="D29" s="136"/>
      <c r="E29" s="306"/>
      <c r="F29" s="309"/>
      <c r="G29" s="135">
        <v>58</v>
      </c>
      <c r="H29" s="12"/>
      <c r="I29" s="280"/>
      <c r="J29" s="283"/>
      <c r="L29" s="138">
        <f t="shared" si="0"/>
        <v>98</v>
      </c>
      <c r="M29" s="132"/>
      <c r="N29" s="280"/>
      <c r="O29" s="283"/>
    </row>
    <row r="30" spans="1:15" ht="15.95" customHeight="1">
      <c r="A30" s="286"/>
      <c r="B30" s="131" t="s">
        <v>28</v>
      </c>
      <c r="C30" s="135">
        <v>92</v>
      </c>
      <c r="D30" s="47"/>
      <c r="E30" s="306"/>
      <c r="F30" s="309"/>
      <c r="G30" s="135">
        <v>9</v>
      </c>
      <c r="H30" s="14"/>
      <c r="I30" s="280"/>
      <c r="J30" s="283"/>
      <c r="L30" s="138">
        <f t="shared" si="0"/>
        <v>101</v>
      </c>
      <c r="M30" s="12"/>
      <c r="N30" s="280"/>
      <c r="O30" s="283"/>
    </row>
    <row r="31" spans="1:15" ht="15.95" customHeight="1">
      <c r="A31" s="286"/>
      <c r="B31" s="131" t="s">
        <v>29</v>
      </c>
      <c r="C31" s="135">
        <v>33</v>
      </c>
      <c r="D31" s="136"/>
      <c r="E31" s="306"/>
      <c r="F31" s="309"/>
      <c r="G31" s="135">
        <v>38</v>
      </c>
      <c r="H31" s="132"/>
      <c r="I31" s="280"/>
      <c r="J31" s="283"/>
      <c r="L31" s="138">
        <f t="shared" si="0"/>
        <v>71</v>
      </c>
      <c r="M31" s="132"/>
      <c r="N31" s="280"/>
      <c r="O31" s="283"/>
    </row>
    <row r="32" spans="1:15" ht="15.95" customHeight="1">
      <c r="A32" s="286"/>
      <c r="B32" s="131" t="s">
        <v>30</v>
      </c>
      <c r="C32" s="135">
        <v>33</v>
      </c>
      <c r="D32" s="136"/>
      <c r="E32" s="306"/>
      <c r="F32" s="309"/>
      <c r="G32" s="135">
        <v>48</v>
      </c>
      <c r="H32" s="132"/>
      <c r="I32" s="280"/>
      <c r="J32" s="283"/>
      <c r="L32" s="138">
        <f t="shared" si="0"/>
        <v>81</v>
      </c>
      <c r="M32" s="132"/>
      <c r="N32" s="280"/>
      <c r="O32" s="283"/>
    </row>
    <row r="33" spans="1:15" ht="15.95" customHeight="1">
      <c r="A33" s="287"/>
      <c r="B33" s="131" t="s">
        <v>31</v>
      </c>
      <c r="C33" s="135">
        <v>50</v>
      </c>
      <c r="D33" s="47"/>
      <c r="E33" s="306"/>
      <c r="F33" s="310"/>
      <c r="G33" s="135">
        <v>42</v>
      </c>
      <c r="H33" s="140"/>
      <c r="I33" s="281"/>
      <c r="J33" s="284"/>
      <c r="L33" s="138">
        <f t="shared" si="0"/>
        <v>92</v>
      </c>
      <c r="M33" s="140"/>
      <c r="N33" s="281"/>
      <c r="O33" s="284"/>
    </row>
    <row r="34" spans="1:15" ht="15.95" customHeight="1">
      <c r="A34" s="270"/>
      <c r="B34" s="271"/>
      <c r="C34" s="271"/>
      <c r="D34" s="271"/>
      <c r="E34" s="271"/>
      <c r="F34" s="271"/>
      <c r="G34" s="271"/>
      <c r="H34" s="271"/>
      <c r="I34" s="271"/>
      <c r="J34" s="272"/>
      <c r="L34"/>
      <c r="M34"/>
      <c r="N34"/>
      <c r="O34"/>
    </row>
    <row r="35" spans="1:15" ht="27.75" customHeight="1">
      <c r="A35" s="285" t="s">
        <v>32</v>
      </c>
      <c r="B35" s="131" t="s">
        <v>33</v>
      </c>
      <c r="C35" s="135">
        <v>23</v>
      </c>
      <c r="D35" s="48"/>
      <c r="E35" s="306">
        <f>SUM(C35:C40)/6</f>
        <v>36.833333333333336</v>
      </c>
      <c r="F35" s="308"/>
      <c r="G35" s="135">
        <v>20</v>
      </c>
      <c r="H35" s="14"/>
      <c r="I35" s="279">
        <f>SUM(G35:G40)/6</f>
        <v>30.5</v>
      </c>
      <c r="J35" s="282"/>
      <c r="L35" s="138">
        <f t="shared" si="0"/>
        <v>43</v>
      </c>
      <c r="M35" s="14"/>
      <c r="N35" s="279">
        <f>SUM(L35:L40)/6</f>
        <v>67.333333333333329</v>
      </c>
      <c r="O35" s="282"/>
    </row>
    <row r="36" spans="1:15" ht="15.95" customHeight="1">
      <c r="A36" s="286"/>
      <c r="B36" s="131" t="s">
        <v>34</v>
      </c>
      <c r="C36" s="135">
        <f>(98*50)/100</f>
        <v>49</v>
      </c>
      <c r="D36" s="136"/>
      <c r="E36" s="306"/>
      <c r="F36" s="309"/>
      <c r="G36" s="135">
        <v>40</v>
      </c>
      <c r="H36" s="132"/>
      <c r="I36" s="280"/>
      <c r="J36" s="283"/>
      <c r="L36" s="138">
        <f t="shared" si="0"/>
        <v>89</v>
      </c>
      <c r="M36" s="132"/>
      <c r="N36" s="280"/>
      <c r="O36" s="283"/>
    </row>
    <row r="37" spans="1:15" ht="15.95" customHeight="1">
      <c r="A37" s="286"/>
      <c r="B37" s="131" t="s">
        <v>35</v>
      </c>
      <c r="C37" s="135">
        <v>50</v>
      </c>
      <c r="D37" s="47"/>
      <c r="E37" s="306"/>
      <c r="F37" s="309"/>
      <c r="G37" s="135">
        <v>25</v>
      </c>
      <c r="H37" s="132"/>
      <c r="I37" s="280"/>
      <c r="J37" s="283"/>
      <c r="L37" s="138">
        <f t="shared" si="0"/>
        <v>75</v>
      </c>
      <c r="M37" s="132"/>
      <c r="N37" s="280"/>
      <c r="O37" s="283"/>
    </row>
    <row r="38" spans="1:15" ht="27.75" customHeight="1">
      <c r="A38" s="286"/>
      <c r="B38" s="131" t="s">
        <v>36</v>
      </c>
      <c r="C38" s="135">
        <v>49</v>
      </c>
      <c r="D38" s="136"/>
      <c r="E38" s="306"/>
      <c r="F38" s="309"/>
      <c r="G38" s="135">
        <v>33</v>
      </c>
      <c r="H38" s="132"/>
      <c r="I38" s="280"/>
      <c r="J38" s="283"/>
      <c r="L38" s="138">
        <f>C38+G38</f>
        <v>82</v>
      </c>
      <c r="M38" s="132"/>
      <c r="N38" s="280"/>
      <c r="O38" s="283"/>
    </row>
    <row r="39" spans="1:15" ht="27" customHeight="1">
      <c r="A39" s="286"/>
      <c r="B39" s="131" t="s">
        <v>37</v>
      </c>
      <c r="C39" s="135">
        <f>(50*50)/100</f>
        <v>25</v>
      </c>
      <c r="D39" s="48"/>
      <c r="E39" s="306"/>
      <c r="F39" s="309"/>
      <c r="G39" s="135">
        <v>40</v>
      </c>
      <c r="H39" s="132"/>
      <c r="I39" s="280"/>
      <c r="J39" s="283"/>
      <c r="L39" s="138">
        <f t="shared" si="0"/>
        <v>65</v>
      </c>
      <c r="M39" s="132"/>
      <c r="N39" s="280"/>
      <c r="O39" s="283"/>
    </row>
    <row r="40" spans="1:15" ht="15.95" customHeight="1">
      <c r="A40" s="286"/>
      <c r="B40" s="131" t="s">
        <v>38</v>
      </c>
      <c r="C40" s="135">
        <f>(50*50)/100</f>
        <v>25</v>
      </c>
      <c r="D40" s="48"/>
      <c r="E40" s="306"/>
      <c r="F40" s="310"/>
      <c r="G40" s="135">
        <v>25</v>
      </c>
      <c r="H40" s="14"/>
      <c r="I40" s="281"/>
      <c r="J40" s="284"/>
      <c r="L40" s="138">
        <f t="shared" si="0"/>
        <v>50</v>
      </c>
      <c r="M40" s="14"/>
      <c r="N40" s="281"/>
      <c r="O40" s="284"/>
    </row>
    <row r="41" spans="1:15" ht="15.95" customHeight="1">
      <c r="A41" s="270"/>
      <c r="B41" s="271"/>
      <c r="C41" s="271"/>
      <c r="D41" s="271"/>
      <c r="E41" s="271"/>
      <c r="F41" s="271"/>
      <c r="G41" s="271"/>
      <c r="H41" s="271"/>
      <c r="I41" s="271"/>
      <c r="J41" s="272"/>
      <c r="L41"/>
      <c r="M41"/>
      <c r="N41"/>
      <c r="O41"/>
    </row>
    <row r="42" spans="1:15" ht="27.75" customHeight="1">
      <c r="A42" s="276" t="s">
        <v>39</v>
      </c>
      <c r="B42" s="131" t="s">
        <v>40</v>
      </c>
      <c r="C42" s="135">
        <v>40</v>
      </c>
      <c r="D42" s="136"/>
      <c r="E42" s="320">
        <f>SUM(C42:C51)/10</f>
        <v>35.1</v>
      </c>
      <c r="F42" s="308"/>
      <c r="G42" s="135">
        <v>35</v>
      </c>
      <c r="H42" s="132"/>
      <c r="I42" s="279">
        <f>SUM(G42:G51)/10</f>
        <v>36.85</v>
      </c>
      <c r="J42" s="282"/>
      <c r="L42" s="138">
        <f t="shared" si="0"/>
        <v>75</v>
      </c>
      <c r="M42" s="132"/>
      <c r="N42" s="279">
        <f>SUM(L42:L51)/10</f>
        <v>71.95</v>
      </c>
      <c r="O42" s="282"/>
    </row>
    <row r="43" spans="1:15" ht="15.95" customHeight="1">
      <c r="A43" s="277"/>
      <c r="B43" s="131" t="s">
        <v>41</v>
      </c>
      <c r="C43" s="135">
        <f>(75*50)/100</f>
        <v>37.5</v>
      </c>
      <c r="D43" s="136"/>
      <c r="E43" s="320"/>
      <c r="F43" s="309"/>
      <c r="G43" s="135">
        <v>62.5</v>
      </c>
      <c r="H43" s="12"/>
      <c r="I43" s="280"/>
      <c r="J43" s="283"/>
      <c r="L43" s="138">
        <f t="shared" si="0"/>
        <v>100</v>
      </c>
      <c r="M43" s="12"/>
      <c r="N43" s="280"/>
      <c r="O43" s="283"/>
    </row>
    <row r="44" spans="1:15" ht="26.25" customHeight="1">
      <c r="A44" s="277"/>
      <c r="B44" s="131" t="s">
        <v>42</v>
      </c>
      <c r="C44" s="135">
        <f>(117*50)/100</f>
        <v>58.5</v>
      </c>
      <c r="D44" s="47"/>
      <c r="E44" s="320"/>
      <c r="F44" s="309"/>
      <c r="G44" s="135">
        <v>75</v>
      </c>
      <c r="H44" s="12"/>
      <c r="I44" s="280"/>
      <c r="J44" s="283"/>
      <c r="L44" s="138">
        <f t="shared" si="0"/>
        <v>133.5</v>
      </c>
      <c r="M44" s="12"/>
      <c r="N44" s="280"/>
      <c r="O44" s="283"/>
    </row>
    <row r="45" spans="1:15" ht="15.95" customHeight="1">
      <c r="A45" s="277"/>
      <c r="B45" s="131" t="s">
        <v>43</v>
      </c>
      <c r="C45" s="135">
        <v>0</v>
      </c>
      <c r="D45" s="48"/>
      <c r="E45" s="320"/>
      <c r="F45" s="309"/>
      <c r="G45" s="135">
        <v>0</v>
      </c>
      <c r="H45" s="14"/>
      <c r="I45" s="280"/>
      <c r="J45" s="283"/>
      <c r="L45" s="138">
        <f t="shared" si="0"/>
        <v>0</v>
      </c>
      <c r="M45" s="14"/>
      <c r="N45" s="280"/>
      <c r="O45" s="283"/>
    </row>
    <row r="46" spans="1:15" ht="27" customHeight="1">
      <c r="A46" s="277"/>
      <c r="B46" s="131" t="s">
        <v>44</v>
      </c>
      <c r="C46" s="135">
        <f>(100*50)/100</f>
        <v>50</v>
      </c>
      <c r="D46" s="47"/>
      <c r="E46" s="320"/>
      <c r="F46" s="309"/>
      <c r="G46" s="135">
        <v>33</v>
      </c>
      <c r="H46" s="132"/>
      <c r="I46" s="280"/>
      <c r="J46" s="283"/>
      <c r="L46" s="138">
        <f t="shared" si="0"/>
        <v>83</v>
      </c>
      <c r="M46" s="132"/>
      <c r="N46" s="280"/>
      <c r="O46" s="283"/>
    </row>
    <row r="47" spans="1:15" ht="29.25" customHeight="1">
      <c r="A47" s="277"/>
      <c r="B47" s="131" t="s">
        <v>45</v>
      </c>
      <c r="C47" s="135">
        <f>(50*50)/100</f>
        <v>25</v>
      </c>
      <c r="D47" s="48"/>
      <c r="E47" s="320"/>
      <c r="F47" s="309"/>
      <c r="G47" s="135">
        <v>28</v>
      </c>
      <c r="H47" s="14"/>
      <c r="I47" s="280"/>
      <c r="J47" s="283"/>
      <c r="L47" s="138">
        <f t="shared" si="0"/>
        <v>53</v>
      </c>
      <c r="M47" s="14"/>
      <c r="N47" s="280"/>
      <c r="O47" s="283"/>
    </row>
    <row r="48" spans="1:15" ht="30" customHeight="1">
      <c r="A48" s="277"/>
      <c r="B48" s="131" t="s">
        <v>46</v>
      </c>
      <c r="C48" s="135">
        <f>(50*50)/100</f>
        <v>25</v>
      </c>
      <c r="D48" s="48"/>
      <c r="E48" s="320"/>
      <c r="F48" s="309"/>
      <c r="G48" s="135">
        <v>65</v>
      </c>
      <c r="H48" s="12"/>
      <c r="I48" s="280"/>
      <c r="J48" s="283"/>
      <c r="L48" s="138">
        <f t="shared" si="0"/>
        <v>90</v>
      </c>
      <c r="M48" s="137"/>
      <c r="N48" s="280"/>
      <c r="O48" s="283"/>
    </row>
    <row r="49" spans="1:15" ht="15.95" customHeight="1">
      <c r="A49" s="277"/>
      <c r="B49" s="131" t="s">
        <v>47</v>
      </c>
      <c r="C49" s="135">
        <v>0</v>
      </c>
      <c r="D49" s="48"/>
      <c r="E49" s="320"/>
      <c r="F49" s="309"/>
      <c r="G49" s="135">
        <v>0</v>
      </c>
      <c r="H49" s="14"/>
      <c r="I49" s="280"/>
      <c r="J49" s="283"/>
      <c r="L49" s="138">
        <f t="shared" si="0"/>
        <v>0</v>
      </c>
      <c r="M49" s="14"/>
      <c r="N49" s="280"/>
      <c r="O49" s="283"/>
    </row>
    <row r="50" spans="1:15" ht="25.5" customHeight="1">
      <c r="A50" s="277"/>
      <c r="B50" s="131" t="s">
        <v>48</v>
      </c>
      <c r="C50" s="135">
        <f>(80*50)/100</f>
        <v>40</v>
      </c>
      <c r="D50" s="136"/>
      <c r="E50" s="320"/>
      <c r="F50" s="309"/>
      <c r="G50" s="135">
        <v>62</v>
      </c>
      <c r="H50" s="132"/>
      <c r="I50" s="280"/>
      <c r="J50" s="283"/>
      <c r="L50" s="138">
        <f t="shared" si="0"/>
        <v>102</v>
      </c>
      <c r="M50" s="12"/>
      <c r="N50" s="280"/>
      <c r="O50" s="283"/>
    </row>
    <row r="51" spans="1:15" ht="15.95" customHeight="1">
      <c r="A51" s="278"/>
      <c r="B51" s="131" t="s">
        <v>49</v>
      </c>
      <c r="C51" s="135">
        <f>(150*50)/100</f>
        <v>75</v>
      </c>
      <c r="D51" s="47"/>
      <c r="E51" s="320"/>
      <c r="F51" s="310"/>
      <c r="G51" s="135">
        <v>8</v>
      </c>
      <c r="H51" s="132"/>
      <c r="I51" s="281"/>
      <c r="J51" s="284"/>
      <c r="L51" s="138">
        <f t="shared" si="0"/>
        <v>83</v>
      </c>
      <c r="M51" s="132"/>
      <c r="N51" s="281"/>
      <c r="O51" s="284"/>
    </row>
    <row r="52" spans="1:15" ht="15.95" customHeight="1">
      <c r="A52" s="270"/>
      <c r="B52" s="271"/>
      <c r="C52" s="271"/>
      <c r="D52" s="271"/>
      <c r="E52" s="271"/>
      <c r="F52" s="271"/>
      <c r="G52" s="271"/>
      <c r="H52" s="271"/>
      <c r="I52" s="307"/>
      <c r="J52" s="307"/>
      <c r="K52" s="84"/>
      <c r="L52"/>
      <c r="M52"/>
      <c r="N52"/>
      <c r="O52"/>
    </row>
    <row r="53" spans="1:15" ht="15.95" customHeight="1">
      <c r="A53" s="273" t="s">
        <v>95</v>
      </c>
      <c r="B53" s="274"/>
      <c r="C53" s="274"/>
      <c r="D53" s="274"/>
      <c r="E53" s="274"/>
      <c r="F53" s="274"/>
      <c r="G53" s="274"/>
      <c r="H53" s="275"/>
      <c r="I53" s="311"/>
      <c r="J53" s="311"/>
      <c r="K53" s="311"/>
      <c r="L53" s="311"/>
      <c r="M53" s="311"/>
      <c r="N53" s="22">
        <f>SUM(N7+N9+N14+N17+N22+N35+N42)/7</f>
        <v>86.123809523809527</v>
      </c>
      <c r="O53" s="7"/>
    </row>
    <row r="55" spans="1:15">
      <c r="A55" s="2" t="s">
        <v>103</v>
      </c>
      <c r="B55" s="166">
        <f>(E7+E9+E14+E17+E22+E35+E42)/7</f>
        <v>41.847619047619048</v>
      </c>
    </row>
  </sheetData>
  <mergeCells count="57">
    <mergeCell ref="L4:O4"/>
    <mergeCell ref="O9:O12"/>
    <mergeCell ref="O14:O15"/>
    <mergeCell ref="O17:O20"/>
    <mergeCell ref="O22:O33"/>
    <mergeCell ref="N9:N12"/>
    <mergeCell ref="N14:N15"/>
    <mergeCell ref="N17:N20"/>
    <mergeCell ref="N22:N33"/>
    <mergeCell ref="N35:N40"/>
    <mergeCell ref="J42:J51"/>
    <mergeCell ref="O35:O40"/>
    <mergeCell ref="N42:N51"/>
    <mergeCell ref="O42:O51"/>
    <mergeCell ref="E14:E15"/>
    <mergeCell ref="E17:E20"/>
    <mergeCell ref="E22:E33"/>
    <mergeCell ref="I42:I51"/>
    <mergeCell ref="A13:J13"/>
    <mergeCell ref="A14:A15"/>
    <mergeCell ref="I14:I15"/>
    <mergeCell ref="J14:J15"/>
    <mergeCell ref="A16:J16"/>
    <mergeCell ref="A17:A20"/>
    <mergeCell ref="I17:I20"/>
    <mergeCell ref="J17:J20"/>
    <mergeCell ref="F14:F15"/>
    <mergeCell ref="F17:F20"/>
    <mergeCell ref="E35:E40"/>
    <mergeCell ref="E42:E51"/>
    <mergeCell ref="A52:J52"/>
    <mergeCell ref="A53:H53"/>
    <mergeCell ref="A21:J21"/>
    <mergeCell ref="A22:A33"/>
    <mergeCell ref="I22:I33"/>
    <mergeCell ref="J22:J33"/>
    <mergeCell ref="A34:J34"/>
    <mergeCell ref="A35:A40"/>
    <mergeCell ref="I35:I40"/>
    <mergeCell ref="J35:J40"/>
    <mergeCell ref="F22:F33"/>
    <mergeCell ref="I53:M53"/>
    <mergeCell ref="F35:F40"/>
    <mergeCell ref="F42:F51"/>
    <mergeCell ref="A41:J41"/>
    <mergeCell ref="A42:A51"/>
    <mergeCell ref="A1:J1"/>
    <mergeCell ref="A2:J2"/>
    <mergeCell ref="A6:J6"/>
    <mergeCell ref="A8:J8"/>
    <mergeCell ref="A9:A12"/>
    <mergeCell ref="I9:I12"/>
    <mergeCell ref="J9:J12"/>
    <mergeCell ref="F9:F12"/>
    <mergeCell ref="C4:F4"/>
    <mergeCell ref="G4:J4"/>
    <mergeCell ref="E9:E12"/>
  </mergeCells>
  <pageMargins left="0.70866141732283472" right="0.70866141732283472" top="0.74803149606299213" bottom="0.74803149606299213" header="0.31496062992125984" footer="0.31496062992125984"/>
  <pageSetup scale="95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08"/>
  <sheetViews>
    <sheetView zoomScale="50" zoomScaleNormal="50" workbookViewId="0">
      <pane ySplit="5" topLeftCell="A7" activePane="bottomLeft" state="frozen"/>
      <selection pane="bottomLeft" activeCell="AD18" sqref="AD18"/>
    </sheetView>
  </sheetViews>
  <sheetFormatPr baseColWidth="10" defaultRowHeight="15"/>
  <cols>
    <col min="1" max="1" width="1.28515625" style="192" customWidth="1"/>
    <col min="2" max="2" width="18.85546875" style="2" customWidth="1"/>
    <col min="3" max="3" width="28.5703125" style="8" customWidth="1"/>
    <col min="4" max="4" width="7.140625" style="8" customWidth="1"/>
    <col min="5" max="5" width="5.7109375" style="8" customWidth="1"/>
    <col min="6" max="6" width="7.28515625" style="8" customWidth="1"/>
    <col min="7" max="7" width="5.7109375" style="8" customWidth="1"/>
    <col min="8" max="8" width="1.42578125" style="41" customWidth="1"/>
    <col min="9" max="9" width="6.85546875" style="8" customWidth="1"/>
    <col min="10" max="10" width="6.28515625" style="8" customWidth="1"/>
    <col min="11" max="11" width="6.85546875" style="8" customWidth="1"/>
    <col min="12" max="12" width="6.28515625" style="10" customWidth="1"/>
    <col min="13" max="13" width="1.7109375" style="61" customWidth="1"/>
    <col min="14" max="14" width="6.85546875" style="8" customWidth="1"/>
    <col min="15" max="15" width="6.28515625" style="8" customWidth="1"/>
    <col min="16" max="16" width="7.5703125" style="8" customWidth="1"/>
    <col min="17" max="17" width="6.28515625" style="10" customWidth="1"/>
    <col min="18" max="18" width="1.85546875" style="63" customWidth="1"/>
    <col min="19" max="19" width="7.140625" style="61" customWidth="1"/>
    <col min="20" max="20" width="6.28515625" style="61" customWidth="1"/>
    <col min="21" max="21" width="6.85546875" style="61" customWidth="1"/>
    <col min="22" max="22" width="6.28515625" style="61" customWidth="1"/>
    <col min="23" max="23" width="1.7109375" style="63" customWidth="1"/>
    <col min="24" max="24" width="7.85546875" style="61" customWidth="1"/>
    <col min="25" max="25" width="5.140625" style="31" customWidth="1"/>
    <col min="26" max="26" width="7.42578125" style="32" customWidth="1"/>
    <col min="27" max="27" width="6.42578125" style="33" customWidth="1"/>
    <col min="28" max="28" width="2.7109375" style="192" customWidth="1"/>
  </cols>
  <sheetData>
    <row r="1" spans="1:28" ht="18" customHeight="1">
      <c r="B1" s="301" t="s">
        <v>57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</row>
    <row r="2" spans="1:28" ht="18" customHeight="1">
      <c r="B2" s="294" t="s">
        <v>10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</row>
    <row r="3" spans="1:28" ht="18" customHeight="1">
      <c r="B3" s="188"/>
      <c r="C3" s="184"/>
      <c r="D3" s="184"/>
      <c r="E3" s="184"/>
      <c r="F3" s="184"/>
      <c r="G3" s="184"/>
      <c r="H3" s="184"/>
      <c r="I3" s="184"/>
      <c r="J3" s="184"/>
      <c r="K3" s="184"/>
      <c r="L3" s="185"/>
      <c r="M3" s="185"/>
      <c r="N3" s="184"/>
      <c r="O3" s="184"/>
      <c r="P3" s="184"/>
      <c r="Q3" s="185"/>
      <c r="R3" s="251"/>
      <c r="S3" s="185"/>
      <c r="T3" s="185"/>
      <c r="U3" s="185"/>
      <c r="V3" s="185"/>
      <c r="W3" s="251"/>
      <c r="X3" s="185"/>
      <c r="Y3" s="186"/>
      <c r="Z3" s="187"/>
      <c r="AA3" s="188"/>
    </row>
    <row r="4" spans="1:28" ht="18" customHeight="1">
      <c r="B4" s="342" t="s">
        <v>0</v>
      </c>
      <c r="C4" s="342" t="s">
        <v>1</v>
      </c>
      <c r="D4" s="325">
        <v>2016</v>
      </c>
      <c r="E4" s="325"/>
      <c r="F4" s="325"/>
      <c r="G4" s="325"/>
      <c r="H4" s="52"/>
      <c r="I4" s="325">
        <v>2017</v>
      </c>
      <c r="J4" s="325"/>
      <c r="K4" s="325"/>
      <c r="L4" s="325"/>
      <c r="M4" s="62"/>
      <c r="N4" s="325">
        <v>2018</v>
      </c>
      <c r="O4" s="325"/>
      <c r="P4" s="325"/>
      <c r="Q4" s="325"/>
      <c r="R4" s="62"/>
      <c r="S4" s="345">
        <v>2019</v>
      </c>
      <c r="T4" s="346"/>
      <c r="U4" s="346"/>
      <c r="V4" s="347"/>
      <c r="W4" s="62"/>
      <c r="X4" s="326" t="s">
        <v>133</v>
      </c>
      <c r="Y4" s="326"/>
      <c r="Z4" s="326"/>
      <c r="AA4" s="326"/>
    </row>
    <row r="5" spans="1:28" s="111" customFormat="1" ht="43.5" customHeight="1">
      <c r="A5" s="249"/>
      <c r="B5" s="342"/>
      <c r="C5" s="342"/>
      <c r="D5" s="106" t="s">
        <v>58</v>
      </c>
      <c r="E5" s="106"/>
      <c r="F5" s="106" t="s">
        <v>58</v>
      </c>
      <c r="G5" s="106"/>
      <c r="H5" s="107"/>
      <c r="I5" s="106" t="s">
        <v>58</v>
      </c>
      <c r="J5" s="106"/>
      <c r="K5" s="106" t="s">
        <v>58</v>
      </c>
      <c r="L5" s="106"/>
      <c r="M5" s="108"/>
      <c r="N5" s="106" t="s">
        <v>58</v>
      </c>
      <c r="O5" s="106"/>
      <c r="P5" s="106" t="s">
        <v>58</v>
      </c>
      <c r="Q5" s="106"/>
      <c r="R5" s="108"/>
      <c r="S5" s="106" t="s">
        <v>58</v>
      </c>
      <c r="T5" s="106"/>
      <c r="U5" s="106" t="s">
        <v>58</v>
      </c>
      <c r="V5" s="106"/>
      <c r="W5" s="241"/>
      <c r="X5" s="106" t="s">
        <v>62</v>
      </c>
      <c r="Y5" s="107"/>
      <c r="Z5" s="109" t="s">
        <v>60</v>
      </c>
      <c r="AA5" s="110"/>
      <c r="AB5" s="249"/>
    </row>
    <row r="6" spans="1:28" s="17" customFormat="1" ht="15" customHeight="1">
      <c r="A6" s="250"/>
      <c r="B6" s="365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7"/>
      <c r="AB6" s="250"/>
    </row>
    <row r="7" spans="1:28" ht="15.95" customHeight="1">
      <c r="B7" s="4" t="s">
        <v>3</v>
      </c>
      <c r="C7" s="172"/>
      <c r="D7" s="29">
        <v>100</v>
      </c>
      <c r="E7" s="35"/>
      <c r="F7" s="29">
        <v>100</v>
      </c>
      <c r="G7" s="124"/>
      <c r="H7" s="53"/>
      <c r="I7" s="11">
        <v>100</v>
      </c>
      <c r="J7" s="47"/>
      <c r="K7" s="11">
        <v>100</v>
      </c>
      <c r="L7" s="47"/>
      <c r="M7" s="248"/>
      <c r="N7" s="163">
        <v>100</v>
      </c>
      <c r="O7" s="47"/>
      <c r="P7" s="163">
        <v>100</v>
      </c>
      <c r="Q7" s="47"/>
      <c r="S7" s="239">
        <v>100</v>
      </c>
      <c r="T7" s="47"/>
      <c r="U7" s="239">
        <f>S7</f>
        <v>100</v>
      </c>
      <c r="V7" s="47"/>
      <c r="X7" s="239">
        <f>((D7+I7+N7+S7)*100)/400</f>
        <v>100</v>
      </c>
      <c r="Y7" s="65"/>
      <c r="Z7" s="50">
        <f>X7</f>
        <v>100</v>
      </c>
      <c r="AA7" s="5"/>
    </row>
    <row r="8" spans="1:28" ht="15.95" customHeight="1">
      <c r="B8" s="334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6"/>
    </row>
    <row r="9" spans="1:28" ht="21" customHeight="1">
      <c r="B9" s="293" t="s">
        <v>2</v>
      </c>
      <c r="C9" s="30" t="s">
        <v>4</v>
      </c>
      <c r="D9" s="29">
        <v>86</v>
      </c>
      <c r="E9" s="37"/>
      <c r="F9" s="320">
        <f>SUM(D9:D12)/4</f>
        <v>71</v>
      </c>
      <c r="G9" s="323"/>
      <c r="H9" s="348"/>
      <c r="I9" s="11">
        <v>111</v>
      </c>
      <c r="J9" s="47"/>
      <c r="K9" s="306">
        <f>SUM(I9:I12)/4</f>
        <v>86.5</v>
      </c>
      <c r="L9" s="302"/>
      <c r="M9" s="337"/>
      <c r="N9" s="163">
        <v>143</v>
      </c>
      <c r="O9" s="5"/>
      <c r="P9" s="306">
        <f>SUM(N9:N12)/4</f>
        <v>100.875</v>
      </c>
      <c r="Q9" s="317"/>
      <c r="R9" s="338"/>
      <c r="S9" s="66">
        <v>103</v>
      </c>
      <c r="T9" s="236"/>
      <c r="U9" s="355">
        <f>SUM(S9:S12)/4</f>
        <v>101.75</v>
      </c>
      <c r="V9" s="352"/>
      <c r="W9" s="337"/>
      <c r="X9" s="242">
        <f>((D9+I9+N9+S9)*100)/400</f>
        <v>110.75</v>
      </c>
      <c r="Y9" s="65"/>
      <c r="Z9" s="331">
        <f>SUM(X9:X12)/4</f>
        <v>90.03125</v>
      </c>
      <c r="AA9" s="349"/>
    </row>
    <row r="10" spans="1:28" ht="15.95" customHeight="1">
      <c r="B10" s="293"/>
      <c r="C10" s="30" t="s">
        <v>5</v>
      </c>
      <c r="D10" s="29">
        <v>72</v>
      </c>
      <c r="E10" s="37"/>
      <c r="F10" s="320"/>
      <c r="G10" s="323"/>
      <c r="H10" s="348"/>
      <c r="I10" s="11">
        <v>100</v>
      </c>
      <c r="J10" s="47"/>
      <c r="K10" s="306"/>
      <c r="L10" s="303"/>
      <c r="M10" s="337"/>
      <c r="N10" s="163">
        <v>72.5</v>
      </c>
      <c r="O10" s="7"/>
      <c r="P10" s="306"/>
      <c r="Q10" s="317"/>
      <c r="R10" s="338"/>
      <c r="S10" s="66">
        <v>94.5</v>
      </c>
      <c r="T10" s="237"/>
      <c r="U10" s="337"/>
      <c r="V10" s="353"/>
      <c r="W10" s="337"/>
      <c r="X10" s="259">
        <f t="shared" ref="X10:X12" si="0">((D10+I10+N10+S10)*100)/400</f>
        <v>84.75</v>
      </c>
      <c r="Y10" s="67"/>
      <c r="Z10" s="332"/>
      <c r="AA10" s="350"/>
    </row>
    <row r="11" spans="1:28" ht="15.95" customHeight="1">
      <c r="B11" s="293"/>
      <c r="C11" s="30" t="s">
        <v>6</v>
      </c>
      <c r="D11" s="29">
        <v>59</v>
      </c>
      <c r="E11" s="174"/>
      <c r="F11" s="320"/>
      <c r="G11" s="323"/>
      <c r="H11" s="348"/>
      <c r="I11" s="11">
        <v>77</v>
      </c>
      <c r="J11" s="146"/>
      <c r="K11" s="306"/>
      <c r="L11" s="303"/>
      <c r="M11" s="337"/>
      <c r="N11" s="163">
        <v>100</v>
      </c>
      <c r="O11" s="5"/>
      <c r="P11" s="306"/>
      <c r="Q11" s="317"/>
      <c r="R11" s="338"/>
      <c r="S11" s="66">
        <v>84.5</v>
      </c>
      <c r="T11" s="237"/>
      <c r="U11" s="337"/>
      <c r="V11" s="353"/>
      <c r="W11" s="337"/>
      <c r="X11" s="259">
        <f t="shared" si="0"/>
        <v>80.125</v>
      </c>
      <c r="Y11" s="67"/>
      <c r="Z11" s="332"/>
      <c r="AA11" s="350"/>
    </row>
    <row r="12" spans="1:28" ht="27.75" customHeight="1">
      <c r="B12" s="293"/>
      <c r="C12" s="30" t="s">
        <v>7</v>
      </c>
      <c r="D12" s="29">
        <v>67</v>
      </c>
      <c r="E12" s="37"/>
      <c r="F12" s="320"/>
      <c r="G12" s="323"/>
      <c r="H12" s="348"/>
      <c r="I12" s="11">
        <v>58</v>
      </c>
      <c r="J12" s="148"/>
      <c r="K12" s="306"/>
      <c r="L12" s="304"/>
      <c r="M12" s="337"/>
      <c r="N12" s="163">
        <v>88</v>
      </c>
      <c r="O12" s="7"/>
      <c r="P12" s="306"/>
      <c r="Q12" s="317"/>
      <c r="R12" s="338"/>
      <c r="S12" s="66">
        <v>125</v>
      </c>
      <c r="T12" s="255"/>
      <c r="U12" s="356"/>
      <c r="V12" s="354"/>
      <c r="W12" s="337"/>
      <c r="X12" s="259">
        <f t="shared" si="0"/>
        <v>84.5</v>
      </c>
      <c r="Y12" s="67"/>
      <c r="Z12" s="333"/>
      <c r="AA12" s="351"/>
    </row>
    <row r="13" spans="1:28" ht="18.75" customHeight="1">
      <c r="B13" s="362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4"/>
    </row>
    <row r="14" spans="1:28" ht="15.95" customHeight="1">
      <c r="B14" s="293" t="s">
        <v>11</v>
      </c>
      <c r="C14" s="30" t="s">
        <v>12</v>
      </c>
      <c r="D14" s="29">
        <v>100</v>
      </c>
      <c r="E14" s="35"/>
      <c r="F14" s="320">
        <f>SUM(D14:D15)/2</f>
        <v>100</v>
      </c>
      <c r="G14" s="343"/>
      <c r="H14" s="348"/>
      <c r="I14" s="11">
        <v>100</v>
      </c>
      <c r="J14" s="47"/>
      <c r="K14" s="312">
        <f>SUM(I14:I15)/2</f>
        <v>100</v>
      </c>
      <c r="L14" s="317"/>
      <c r="M14" s="337"/>
      <c r="N14" s="163">
        <v>100</v>
      </c>
      <c r="O14" s="47"/>
      <c r="P14" s="312">
        <f>SUM(N14:N15)/2</f>
        <v>90</v>
      </c>
      <c r="Q14" s="344"/>
      <c r="R14" s="338"/>
      <c r="S14" s="66">
        <v>100</v>
      </c>
      <c r="T14" s="236"/>
      <c r="U14" s="355">
        <f>(S14+S15)/2</f>
        <v>100</v>
      </c>
      <c r="V14" s="352"/>
      <c r="W14" s="357"/>
      <c r="X14" s="259">
        <f t="shared" ref="X14:X15" si="1">((D14+I14+N14+S14)*100)/400</f>
        <v>100</v>
      </c>
      <c r="Y14" s="65"/>
      <c r="Z14" s="331">
        <f>SUM(X14:X15)/2</f>
        <v>97.5</v>
      </c>
      <c r="AA14" s="327"/>
    </row>
    <row r="15" spans="1:28" ht="15.95" customHeight="1">
      <c r="B15" s="293"/>
      <c r="C15" s="30" t="s">
        <v>13</v>
      </c>
      <c r="D15" s="29">
        <v>100</v>
      </c>
      <c r="E15" s="35"/>
      <c r="F15" s="320"/>
      <c r="G15" s="343"/>
      <c r="H15" s="348"/>
      <c r="I15" s="11">
        <v>100</v>
      </c>
      <c r="J15" s="47"/>
      <c r="K15" s="313"/>
      <c r="L15" s="317"/>
      <c r="M15" s="337"/>
      <c r="N15" s="163">
        <v>80</v>
      </c>
      <c r="O15" s="164"/>
      <c r="P15" s="313"/>
      <c r="Q15" s="344"/>
      <c r="R15" s="338"/>
      <c r="S15" s="66">
        <v>100</v>
      </c>
      <c r="T15" s="236"/>
      <c r="U15" s="356"/>
      <c r="V15" s="354"/>
      <c r="W15" s="357"/>
      <c r="X15" s="259">
        <f t="shared" si="1"/>
        <v>95</v>
      </c>
      <c r="Y15" s="67"/>
      <c r="Z15" s="333"/>
      <c r="AA15" s="327"/>
    </row>
    <row r="16" spans="1:28" ht="15.95" customHeight="1">
      <c r="B16" s="362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4"/>
    </row>
    <row r="17" spans="2:27" ht="27" customHeight="1">
      <c r="B17" s="293" t="s">
        <v>14</v>
      </c>
      <c r="C17" s="30" t="s">
        <v>15</v>
      </c>
      <c r="D17" s="29">
        <v>54</v>
      </c>
      <c r="E17" s="174"/>
      <c r="F17" s="306">
        <f>SUM(D17:D20)/4</f>
        <v>60.25</v>
      </c>
      <c r="G17" s="323"/>
      <c r="H17" s="348"/>
      <c r="I17" s="11">
        <v>83</v>
      </c>
      <c r="J17" s="146"/>
      <c r="K17" s="314">
        <f>SUM(I17:I20)/4</f>
        <v>84</v>
      </c>
      <c r="L17" s="344"/>
      <c r="M17" s="337"/>
      <c r="N17" s="163">
        <v>132</v>
      </c>
      <c r="O17" s="47"/>
      <c r="P17" s="314">
        <f>SUM(N17:N20)/4</f>
        <v>99.125</v>
      </c>
      <c r="Q17" s="317"/>
      <c r="R17" s="338"/>
      <c r="S17" s="66">
        <v>103</v>
      </c>
      <c r="T17" s="236"/>
      <c r="U17" s="355">
        <f>SUM(S17:S20)/4</f>
        <v>98</v>
      </c>
      <c r="V17" s="302"/>
      <c r="W17" s="357"/>
      <c r="X17" s="259">
        <f t="shared" ref="X17:X20" si="2">((D17+I17+N17+S17)*100)/400</f>
        <v>93</v>
      </c>
      <c r="Y17" s="67"/>
      <c r="Z17" s="331">
        <f>SUM(X17:X20)/4</f>
        <v>85.34375</v>
      </c>
      <c r="AA17" s="327"/>
    </row>
    <row r="18" spans="2:27" ht="27" customHeight="1">
      <c r="B18" s="293"/>
      <c r="C18" s="30" t="s">
        <v>16</v>
      </c>
      <c r="D18" s="29">
        <v>71</v>
      </c>
      <c r="E18" s="37"/>
      <c r="F18" s="306"/>
      <c r="G18" s="323"/>
      <c r="H18" s="348"/>
      <c r="I18" s="11">
        <v>104</v>
      </c>
      <c r="J18" s="47"/>
      <c r="K18" s="315"/>
      <c r="L18" s="344"/>
      <c r="M18" s="337"/>
      <c r="N18" s="163">
        <v>85</v>
      </c>
      <c r="O18" s="164"/>
      <c r="P18" s="315"/>
      <c r="Q18" s="317"/>
      <c r="R18" s="338"/>
      <c r="S18" s="66">
        <v>100</v>
      </c>
      <c r="T18" s="255"/>
      <c r="U18" s="337"/>
      <c r="V18" s="303"/>
      <c r="W18" s="357"/>
      <c r="X18" s="259">
        <f t="shared" si="2"/>
        <v>90</v>
      </c>
      <c r="Y18" s="67"/>
      <c r="Z18" s="332"/>
      <c r="AA18" s="327"/>
    </row>
    <row r="19" spans="2:27" ht="15.95" customHeight="1">
      <c r="B19" s="293"/>
      <c r="C19" s="30" t="s">
        <v>17</v>
      </c>
      <c r="D19" s="29">
        <v>50</v>
      </c>
      <c r="E19" s="175"/>
      <c r="F19" s="306"/>
      <c r="G19" s="323"/>
      <c r="H19" s="348"/>
      <c r="I19" s="11">
        <v>89</v>
      </c>
      <c r="J19" s="146"/>
      <c r="K19" s="315"/>
      <c r="L19" s="344"/>
      <c r="M19" s="337"/>
      <c r="N19" s="163">
        <v>94.5</v>
      </c>
      <c r="O19" s="164"/>
      <c r="P19" s="315"/>
      <c r="Q19" s="317"/>
      <c r="R19" s="338"/>
      <c r="S19" s="66">
        <v>89</v>
      </c>
      <c r="T19" s="237"/>
      <c r="U19" s="337"/>
      <c r="V19" s="303"/>
      <c r="W19" s="357"/>
      <c r="X19" s="259">
        <f t="shared" si="2"/>
        <v>80.625</v>
      </c>
      <c r="Y19" s="67"/>
      <c r="Z19" s="332"/>
      <c r="AA19" s="327"/>
    </row>
    <row r="20" spans="2:27" ht="15.95" customHeight="1">
      <c r="B20" s="293"/>
      <c r="C20" s="30" t="s">
        <v>18</v>
      </c>
      <c r="D20" s="29">
        <v>66</v>
      </c>
      <c r="E20" s="37"/>
      <c r="F20" s="306"/>
      <c r="G20" s="323"/>
      <c r="H20" s="348"/>
      <c r="I20" s="11">
        <v>60</v>
      </c>
      <c r="J20" s="146"/>
      <c r="K20" s="316"/>
      <c r="L20" s="344"/>
      <c r="M20" s="337"/>
      <c r="N20" s="163">
        <v>85</v>
      </c>
      <c r="O20" s="164"/>
      <c r="P20" s="316"/>
      <c r="Q20" s="317"/>
      <c r="R20" s="338"/>
      <c r="S20" s="66">
        <v>100</v>
      </c>
      <c r="T20" s="255"/>
      <c r="U20" s="356"/>
      <c r="V20" s="304"/>
      <c r="W20" s="357"/>
      <c r="X20" s="259">
        <f t="shared" si="2"/>
        <v>77.75</v>
      </c>
      <c r="Y20" s="147"/>
      <c r="Z20" s="333"/>
      <c r="AA20" s="327"/>
    </row>
    <row r="21" spans="2:27" ht="15.95" customHeight="1">
      <c r="B21" s="362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4"/>
    </row>
    <row r="22" spans="2:27" ht="15.95" customHeight="1">
      <c r="B22" s="293" t="s">
        <v>19</v>
      </c>
      <c r="C22" s="30" t="s">
        <v>20</v>
      </c>
      <c r="D22" s="29">
        <v>56</v>
      </c>
      <c r="E22" s="37"/>
      <c r="F22" s="306">
        <f>SUM(D22:D33)/12</f>
        <v>75.583333333333329</v>
      </c>
      <c r="G22" s="323"/>
      <c r="H22" s="348"/>
      <c r="I22" s="11">
        <v>114</v>
      </c>
      <c r="J22" s="47"/>
      <c r="K22" s="306">
        <f>SUM(I22:I33)/12</f>
        <v>93.416666666666671</v>
      </c>
      <c r="L22" s="308"/>
      <c r="M22" s="340"/>
      <c r="N22" s="163">
        <v>85</v>
      </c>
      <c r="O22" s="157"/>
      <c r="P22" s="291">
        <f>SUM(N22:N33)/12</f>
        <v>79.208333333333329</v>
      </c>
      <c r="Q22" s="308"/>
      <c r="R22" s="371"/>
      <c r="S22" s="239">
        <v>97.5</v>
      </c>
      <c r="T22" s="238"/>
      <c r="U22" s="339">
        <f>SUM(S22:S33)/12</f>
        <v>94</v>
      </c>
      <c r="V22" s="308"/>
      <c r="W22" s="358"/>
      <c r="X22" s="259">
        <f t="shared" ref="X22:X33" si="3">((D22+I22+N22+S22)*100)/400</f>
        <v>88.125</v>
      </c>
      <c r="Y22" s="67"/>
      <c r="Z22" s="331">
        <f>SUM(X22:X33)/12</f>
        <v>85.552083333333329</v>
      </c>
      <c r="AA22" s="327"/>
    </row>
    <row r="23" spans="2:27" ht="15.95" customHeight="1">
      <c r="B23" s="293"/>
      <c r="C23" s="30" t="s">
        <v>21</v>
      </c>
      <c r="D23" s="29">
        <v>77</v>
      </c>
      <c r="E23" s="37"/>
      <c r="F23" s="306"/>
      <c r="G23" s="323"/>
      <c r="H23" s="348"/>
      <c r="I23" s="11">
        <v>77</v>
      </c>
      <c r="J23" s="49"/>
      <c r="K23" s="306"/>
      <c r="L23" s="309"/>
      <c r="M23" s="340"/>
      <c r="N23" s="163">
        <v>76</v>
      </c>
      <c r="O23" s="173"/>
      <c r="P23" s="291"/>
      <c r="Q23" s="309"/>
      <c r="R23" s="371"/>
      <c r="S23" s="239">
        <v>84</v>
      </c>
      <c r="T23" s="238"/>
      <c r="U23" s="340"/>
      <c r="V23" s="309"/>
      <c r="W23" s="358"/>
      <c r="X23" s="259">
        <f t="shared" si="3"/>
        <v>78.5</v>
      </c>
      <c r="Y23" s="67"/>
      <c r="Z23" s="332"/>
      <c r="AA23" s="327"/>
    </row>
    <row r="24" spans="2:27" ht="15.95" customHeight="1">
      <c r="B24" s="293"/>
      <c r="C24" s="30" t="s">
        <v>22</v>
      </c>
      <c r="D24" s="29">
        <v>100</v>
      </c>
      <c r="E24" s="35"/>
      <c r="F24" s="306"/>
      <c r="G24" s="323"/>
      <c r="H24" s="348"/>
      <c r="I24" s="11">
        <v>100</v>
      </c>
      <c r="J24" s="47"/>
      <c r="K24" s="306"/>
      <c r="L24" s="309"/>
      <c r="M24" s="340"/>
      <c r="N24" s="163">
        <v>100</v>
      </c>
      <c r="O24" s="165"/>
      <c r="P24" s="291"/>
      <c r="Q24" s="309"/>
      <c r="R24" s="371"/>
      <c r="S24" s="239">
        <v>100</v>
      </c>
      <c r="T24" s="47"/>
      <c r="U24" s="340"/>
      <c r="V24" s="309"/>
      <c r="W24" s="358"/>
      <c r="X24" s="259">
        <f t="shared" si="3"/>
        <v>100</v>
      </c>
      <c r="Y24" s="65"/>
      <c r="Z24" s="332"/>
      <c r="AA24" s="327"/>
    </row>
    <row r="25" spans="2:27" ht="15.95" customHeight="1">
      <c r="B25" s="293"/>
      <c r="C25" s="30" t="s">
        <v>23</v>
      </c>
      <c r="D25" s="29">
        <v>50</v>
      </c>
      <c r="E25" s="37"/>
      <c r="F25" s="306"/>
      <c r="G25" s="323"/>
      <c r="H25" s="348"/>
      <c r="I25" s="11">
        <v>100</v>
      </c>
      <c r="J25" s="47"/>
      <c r="K25" s="306"/>
      <c r="L25" s="309"/>
      <c r="M25" s="340"/>
      <c r="N25" s="163">
        <v>100</v>
      </c>
      <c r="O25" s="165"/>
      <c r="P25" s="291"/>
      <c r="Q25" s="309"/>
      <c r="R25" s="371"/>
      <c r="S25" s="239">
        <v>97</v>
      </c>
      <c r="T25" s="238"/>
      <c r="U25" s="340"/>
      <c r="V25" s="309"/>
      <c r="W25" s="358"/>
      <c r="X25" s="259">
        <f t="shared" si="3"/>
        <v>86.75</v>
      </c>
      <c r="Y25" s="67"/>
      <c r="Z25" s="332"/>
      <c r="AA25" s="327"/>
    </row>
    <row r="26" spans="2:27" ht="15.95" customHeight="1">
      <c r="B26" s="293"/>
      <c r="C26" s="30" t="s">
        <v>24</v>
      </c>
      <c r="D26" s="29">
        <v>89</v>
      </c>
      <c r="E26" s="37"/>
      <c r="F26" s="306"/>
      <c r="G26" s="323"/>
      <c r="H26" s="348"/>
      <c r="I26" s="11">
        <v>94</v>
      </c>
      <c r="J26" s="49"/>
      <c r="K26" s="306"/>
      <c r="L26" s="309"/>
      <c r="M26" s="340"/>
      <c r="N26" s="163">
        <v>86</v>
      </c>
      <c r="O26" s="157"/>
      <c r="P26" s="291"/>
      <c r="Q26" s="309"/>
      <c r="R26" s="371"/>
      <c r="S26" s="239">
        <v>100</v>
      </c>
      <c r="T26" s="47"/>
      <c r="U26" s="340"/>
      <c r="V26" s="309"/>
      <c r="W26" s="358"/>
      <c r="X26" s="259">
        <f t="shared" si="3"/>
        <v>92.25</v>
      </c>
      <c r="Y26" s="67"/>
      <c r="Z26" s="332"/>
      <c r="AA26" s="327"/>
    </row>
    <row r="27" spans="2:27" ht="15.95" customHeight="1">
      <c r="B27" s="293"/>
      <c r="C27" s="30" t="s">
        <v>25</v>
      </c>
      <c r="D27" s="29">
        <v>100</v>
      </c>
      <c r="E27" s="35"/>
      <c r="F27" s="306"/>
      <c r="G27" s="323"/>
      <c r="H27" s="348"/>
      <c r="I27" s="11">
        <v>97</v>
      </c>
      <c r="J27" s="49"/>
      <c r="K27" s="306"/>
      <c r="L27" s="309"/>
      <c r="M27" s="340"/>
      <c r="N27" s="163">
        <v>88</v>
      </c>
      <c r="O27" s="199"/>
      <c r="P27" s="291"/>
      <c r="Q27" s="309"/>
      <c r="R27" s="371"/>
      <c r="S27" s="239">
        <v>105.5</v>
      </c>
      <c r="T27" s="47"/>
      <c r="U27" s="340"/>
      <c r="V27" s="309"/>
      <c r="W27" s="358"/>
      <c r="X27" s="259">
        <f t="shared" si="3"/>
        <v>97.625</v>
      </c>
      <c r="Y27" s="67"/>
      <c r="Z27" s="332"/>
      <c r="AA27" s="327"/>
    </row>
    <row r="28" spans="2:27" ht="15.95" customHeight="1">
      <c r="B28" s="293"/>
      <c r="C28" s="30" t="s">
        <v>26</v>
      </c>
      <c r="D28" s="29">
        <v>97</v>
      </c>
      <c r="E28" s="37"/>
      <c r="F28" s="306"/>
      <c r="G28" s="323"/>
      <c r="H28" s="348"/>
      <c r="I28" s="11">
        <v>96</v>
      </c>
      <c r="J28" s="49"/>
      <c r="K28" s="306"/>
      <c r="L28" s="309"/>
      <c r="M28" s="340"/>
      <c r="N28" s="163">
        <v>78.5</v>
      </c>
      <c r="O28" s="157"/>
      <c r="P28" s="291"/>
      <c r="Q28" s="309"/>
      <c r="R28" s="371"/>
      <c r="S28" s="239">
        <v>90.5</v>
      </c>
      <c r="T28" s="238"/>
      <c r="U28" s="340"/>
      <c r="V28" s="309"/>
      <c r="W28" s="358"/>
      <c r="X28" s="259">
        <f t="shared" si="3"/>
        <v>90.5</v>
      </c>
      <c r="Y28" s="67"/>
      <c r="Z28" s="332"/>
      <c r="AA28" s="327"/>
    </row>
    <row r="29" spans="2:27" ht="24.75" customHeight="1">
      <c r="B29" s="293"/>
      <c r="C29" s="30" t="s">
        <v>27</v>
      </c>
      <c r="D29" s="29">
        <v>78</v>
      </c>
      <c r="E29" s="37"/>
      <c r="F29" s="306"/>
      <c r="G29" s="323"/>
      <c r="H29" s="348"/>
      <c r="I29" s="11">
        <v>98</v>
      </c>
      <c r="J29" s="49"/>
      <c r="K29" s="306"/>
      <c r="L29" s="309"/>
      <c r="M29" s="340"/>
      <c r="N29" s="163">
        <v>87</v>
      </c>
      <c r="O29" s="157"/>
      <c r="P29" s="291"/>
      <c r="Q29" s="309"/>
      <c r="R29" s="371"/>
      <c r="S29" s="239">
        <v>89</v>
      </c>
      <c r="T29" s="238"/>
      <c r="U29" s="340"/>
      <c r="V29" s="309"/>
      <c r="W29" s="358"/>
      <c r="X29" s="259">
        <f t="shared" si="3"/>
        <v>88</v>
      </c>
      <c r="Y29" s="67"/>
      <c r="Z29" s="332"/>
      <c r="AA29" s="327"/>
    </row>
    <row r="30" spans="2:27" ht="15.95" customHeight="1">
      <c r="B30" s="293"/>
      <c r="C30" s="30" t="s">
        <v>28</v>
      </c>
      <c r="D30" s="29">
        <v>7</v>
      </c>
      <c r="E30" s="38"/>
      <c r="F30" s="306"/>
      <c r="G30" s="323"/>
      <c r="H30" s="348"/>
      <c r="I30" s="11">
        <v>101</v>
      </c>
      <c r="J30" s="47"/>
      <c r="K30" s="306"/>
      <c r="L30" s="309"/>
      <c r="M30" s="340"/>
      <c r="N30" s="163">
        <v>13</v>
      </c>
      <c r="O30" s="14"/>
      <c r="P30" s="291"/>
      <c r="Q30" s="309"/>
      <c r="R30" s="371"/>
      <c r="S30" s="239">
        <v>65.5</v>
      </c>
      <c r="T30" s="258"/>
      <c r="U30" s="340"/>
      <c r="V30" s="309"/>
      <c r="W30" s="358"/>
      <c r="X30" s="259">
        <f t="shared" si="3"/>
        <v>46.625</v>
      </c>
      <c r="Y30" s="68"/>
      <c r="Z30" s="332"/>
      <c r="AA30" s="327"/>
    </row>
    <row r="31" spans="2:27" ht="15.95" customHeight="1">
      <c r="B31" s="293"/>
      <c r="C31" s="30" t="s">
        <v>29</v>
      </c>
      <c r="D31" s="29">
        <v>100</v>
      </c>
      <c r="E31" s="35"/>
      <c r="F31" s="306"/>
      <c r="G31" s="323"/>
      <c r="H31" s="348"/>
      <c r="I31" s="11">
        <v>71</v>
      </c>
      <c r="J31" s="49"/>
      <c r="K31" s="306"/>
      <c r="L31" s="309"/>
      <c r="M31" s="340"/>
      <c r="N31" s="163">
        <v>79</v>
      </c>
      <c r="O31" s="157"/>
      <c r="P31" s="291"/>
      <c r="Q31" s="309"/>
      <c r="R31" s="371"/>
      <c r="S31" s="239">
        <v>105.5</v>
      </c>
      <c r="T31" s="47"/>
      <c r="U31" s="340"/>
      <c r="V31" s="309"/>
      <c r="W31" s="358"/>
      <c r="X31" s="259">
        <f t="shared" si="3"/>
        <v>88.875</v>
      </c>
      <c r="Y31" s="67"/>
      <c r="Z31" s="332"/>
      <c r="AA31" s="327"/>
    </row>
    <row r="32" spans="2:27" ht="15.95" customHeight="1">
      <c r="B32" s="293"/>
      <c r="C32" s="30" t="s">
        <v>30</v>
      </c>
      <c r="D32" s="29">
        <v>67</v>
      </c>
      <c r="E32" s="37"/>
      <c r="F32" s="306"/>
      <c r="G32" s="323"/>
      <c r="H32" s="348"/>
      <c r="I32" s="11">
        <v>81</v>
      </c>
      <c r="J32" s="49"/>
      <c r="K32" s="306"/>
      <c r="L32" s="309"/>
      <c r="M32" s="340"/>
      <c r="N32" s="163">
        <v>88</v>
      </c>
      <c r="O32" s="199"/>
      <c r="P32" s="291"/>
      <c r="Q32" s="309"/>
      <c r="R32" s="371"/>
      <c r="S32" s="239">
        <v>98.5</v>
      </c>
      <c r="T32" s="238"/>
      <c r="U32" s="340"/>
      <c r="V32" s="309"/>
      <c r="W32" s="358"/>
      <c r="X32" s="259">
        <f t="shared" si="3"/>
        <v>83.625</v>
      </c>
      <c r="Y32" s="67"/>
      <c r="Z32" s="332"/>
      <c r="AA32" s="327"/>
    </row>
    <row r="33" spans="2:27" ht="15.95" customHeight="1">
      <c r="B33" s="293"/>
      <c r="C33" s="30" t="s">
        <v>31</v>
      </c>
      <c r="D33" s="29">
        <v>86</v>
      </c>
      <c r="E33" s="37"/>
      <c r="F33" s="306"/>
      <c r="G33" s="323"/>
      <c r="H33" s="348"/>
      <c r="I33" s="11">
        <v>92</v>
      </c>
      <c r="J33" s="146"/>
      <c r="K33" s="306"/>
      <c r="L33" s="310"/>
      <c r="M33" s="340"/>
      <c r="N33" s="163">
        <v>70</v>
      </c>
      <c r="O33" s="157"/>
      <c r="P33" s="291"/>
      <c r="Q33" s="310"/>
      <c r="R33" s="371"/>
      <c r="S33" s="239">
        <v>95</v>
      </c>
      <c r="T33" s="238"/>
      <c r="U33" s="341"/>
      <c r="V33" s="310"/>
      <c r="W33" s="358"/>
      <c r="X33" s="259">
        <f t="shared" si="3"/>
        <v>85.75</v>
      </c>
      <c r="Y33" s="67"/>
      <c r="Z33" s="333"/>
      <c r="AA33" s="327"/>
    </row>
    <row r="34" spans="2:27" ht="15.95" customHeight="1">
      <c r="B34" s="362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4"/>
    </row>
    <row r="35" spans="2:27" ht="15.95" customHeight="1">
      <c r="B35" s="293" t="s">
        <v>32</v>
      </c>
      <c r="C35" s="30" t="s">
        <v>33</v>
      </c>
      <c r="D35" s="29">
        <v>14</v>
      </c>
      <c r="E35" s="38"/>
      <c r="F35" s="306">
        <f>SUM(D35:D40)/6</f>
        <v>21.333333333333332</v>
      </c>
      <c r="G35" s="324"/>
      <c r="H35" s="348"/>
      <c r="I35" s="11">
        <v>43</v>
      </c>
      <c r="J35" s="48"/>
      <c r="K35" s="306">
        <f>SUM(I35:I40)/6</f>
        <v>67.333333333333329</v>
      </c>
      <c r="L35" s="308"/>
      <c r="M35" s="340"/>
      <c r="N35" s="163">
        <v>56</v>
      </c>
      <c r="O35" s="235"/>
      <c r="P35" s="306">
        <f>SUM(N35:N40)/6</f>
        <v>43.916666666666664</v>
      </c>
      <c r="Q35" s="328"/>
      <c r="R35" s="371"/>
      <c r="S35" s="239">
        <v>90.5</v>
      </c>
      <c r="T35" s="258"/>
      <c r="U35" s="339">
        <f>SUM(S35:S40)/6</f>
        <v>83.75</v>
      </c>
      <c r="V35" s="308"/>
      <c r="W35" s="358"/>
      <c r="X35" s="259">
        <f t="shared" ref="X35:X40" si="4">((D35+I35+N35+S35)*100)/400</f>
        <v>50.875</v>
      </c>
      <c r="Y35" s="67"/>
      <c r="Z35" s="322">
        <f>SUM(X35:X40)/6</f>
        <v>61.583333333333336</v>
      </c>
      <c r="AA35" s="327"/>
    </row>
    <row r="36" spans="2:27" ht="15.95" customHeight="1">
      <c r="B36" s="293"/>
      <c r="C36" s="30" t="s">
        <v>34</v>
      </c>
      <c r="D36" s="29">
        <v>54</v>
      </c>
      <c r="E36" s="37"/>
      <c r="F36" s="306"/>
      <c r="G36" s="324"/>
      <c r="H36" s="348"/>
      <c r="I36" s="11">
        <v>89</v>
      </c>
      <c r="J36" s="49"/>
      <c r="K36" s="306"/>
      <c r="L36" s="309"/>
      <c r="M36" s="340"/>
      <c r="N36" s="163">
        <v>52</v>
      </c>
      <c r="O36" s="235"/>
      <c r="P36" s="306"/>
      <c r="Q36" s="329"/>
      <c r="R36" s="371"/>
      <c r="S36" s="239">
        <v>89.5</v>
      </c>
      <c r="T36" s="238"/>
      <c r="U36" s="340"/>
      <c r="V36" s="309"/>
      <c r="W36" s="358"/>
      <c r="X36" s="259">
        <f t="shared" si="4"/>
        <v>71.125</v>
      </c>
      <c r="Y36" s="67"/>
      <c r="Z36" s="322"/>
      <c r="AA36" s="327"/>
    </row>
    <row r="37" spans="2:27" ht="15.95" customHeight="1">
      <c r="B37" s="293"/>
      <c r="C37" s="30" t="s">
        <v>35</v>
      </c>
      <c r="D37" s="29">
        <v>8</v>
      </c>
      <c r="E37" s="38"/>
      <c r="F37" s="306"/>
      <c r="G37" s="324"/>
      <c r="H37" s="348"/>
      <c r="I37" s="11">
        <v>75</v>
      </c>
      <c r="J37" s="146"/>
      <c r="K37" s="306"/>
      <c r="L37" s="309"/>
      <c r="M37" s="340"/>
      <c r="N37" s="163">
        <v>91</v>
      </c>
      <c r="O37" s="157"/>
      <c r="P37" s="306"/>
      <c r="Q37" s="329"/>
      <c r="R37" s="371"/>
      <c r="S37" s="239">
        <v>122.5</v>
      </c>
      <c r="T37" s="47"/>
      <c r="U37" s="340"/>
      <c r="V37" s="309"/>
      <c r="W37" s="358"/>
      <c r="X37" s="259">
        <f t="shared" si="4"/>
        <v>74.125</v>
      </c>
      <c r="Y37" s="67"/>
      <c r="Z37" s="322"/>
      <c r="AA37" s="327"/>
    </row>
    <row r="38" spans="2:27" ht="27.75" customHeight="1">
      <c r="B38" s="293"/>
      <c r="C38" s="30" t="s">
        <v>36</v>
      </c>
      <c r="D38" s="29">
        <v>25</v>
      </c>
      <c r="E38" s="38"/>
      <c r="F38" s="306"/>
      <c r="G38" s="324"/>
      <c r="H38" s="348"/>
      <c r="I38" s="11">
        <v>82</v>
      </c>
      <c r="J38" s="49"/>
      <c r="K38" s="306"/>
      <c r="L38" s="309"/>
      <c r="M38" s="340"/>
      <c r="N38" s="163">
        <v>12.5</v>
      </c>
      <c r="O38" s="14"/>
      <c r="P38" s="306"/>
      <c r="Q38" s="329"/>
      <c r="R38" s="371"/>
      <c r="S38" s="239">
        <v>37</v>
      </c>
      <c r="T38" s="48"/>
      <c r="U38" s="340"/>
      <c r="V38" s="309"/>
      <c r="W38" s="358"/>
      <c r="X38" s="259">
        <f t="shared" si="4"/>
        <v>39.125</v>
      </c>
      <c r="Y38" s="68"/>
      <c r="Z38" s="322"/>
      <c r="AA38" s="327"/>
    </row>
    <row r="39" spans="2:27" ht="27" customHeight="1">
      <c r="B39" s="293"/>
      <c r="C39" s="30" t="s">
        <v>37</v>
      </c>
      <c r="D39" s="29">
        <v>10</v>
      </c>
      <c r="E39" s="38"/>
      <c r="F39" s="306"/>
      <c r="G39" s="324"/>
      <c r="H39" s="348"/>
      <c r="I39" s="11">
        <v>65</v>
      </c>
      <c r="J39" s="146"/>
      <c r="K39" s="306"/>
      <c r="L39" s="309"/>
      <c r="M39" s="340"/>
      <c r="N39" s="163">
        <v>0</v>
      </c>
      <c r="O39" s="14"/>
      <c r="P39" s="306"/>
      <c r="Q39" s="329"/>
      <c r="R39" s="371"/>
      <c r="S39" s="239">
        <v>105</v>
      </c>
      <c r="T39" s="47"/>
      <c r="U39" s="340"/>
      <c r="V39" s="309"/>
      <c r="W39" s="358"/>
      <c r="X39" s="259">
        <f>((D39+I39+N39+S39)*100)/200</f>
        <v>90</v>
      </c>
      <c r="Y39" s="67"/>
      <c r="Z39" s="322"/>
      <c r="AA39" s="327"/>
    </row>
    <row r="40" spans="2:27" ht="15.95" customHeight="1">
      <c r="B40" s="293"/>
      <c r="C40" s="30" t="s">
        <v>38</v>
      </c>
      <c r="D40" s="29">
        <v>17</v>
      </c>
      <c r="E40" s="38"/>
      <c r="F40" s="306"/>
      <c r="G40" s="324"/>
      <c r="H40" s="348"/>
      <c r="I40" s="11">
        <v>50</v>
      </c>
      <c r="J40" s="48"/>
      <c r="K40" s="306"/>
      <c r="L40" s="310"/>
      <c r="M40" s="340"/>
      <c r="N40" s="163">
        <v>52</v>
      </c>
      <c r="O40" s="235"/>
      <c r="P40" s="306"/>
      <c r="Q40" s="330"/>
      <c r="R40" s="371"/>
      <c r="S40" s="239">
        <v>58</v>
      </c>
      <c r="T40" s="256"/>
      <c r="U40" s="341"/>
      <c r="V40" s="310"/>
      <c r="W40" s="358"/>
      <c r="X40" s="259">
        <f t="shared" si="4"/>
        <v>44.25</v>
      </c>
      <c r="Y40" s="68"/>
      <c r="Z40" s="322"/>
      <c r="AA40" s="327"/>
    </row>
    <row r="41" spans="2:27" ht="15.95" customHeight="1">
      <c r="B41" s="362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4"/>
    </row>
    <row r="42" spans="2:27" ht="27.75" customHeight="1">
      <c r="B42" s="321" t="s">
        <v>39</v>
      </c>
      <c r="C42" s="30" t="s">
        <v>40</v>
      </c>
      <c r="D42" s="29">
        <v>58</v>
      </c>
      <c r="E42" s="37"/>
      <c r="F42" s="320">
        <f>SUM(D42:D51)/10</f>
        <v>49.3</v>
      </c>
      <c r="G42" s="324"/>
      <c r="H42" s="53"/>
      <c r="I42" s="11">
        <v>75</v>
      </c>
      <c r="J42" s="49"/>
      <c r="K42" s="320">
        <f>SUM(I42:I51)/10</f>
        <v>71.900000000000006</v>
      </c>
      <c r="L42" s="308"/>
      <c r="M42" s="340"/>
      <c r="N42" s="163">
        <v>90.5</v>
      </c>
      <c r="O42" s="199"/>
      <c r="P42" s="320">
        <f>SUM(N42:N51)/8</f>
        <v>90.25</v>
      </c>
      <c r="Q42" s="368"/>
      <c r="R42" s="371"/>
      <c r="S42" s="239">
        <v>96</v>
      </c>
      <c r="T42" s="238"/>
      <c r="U42" s="339">
        <f>SUM(S42:S51)/8</f>
        <v>99.75</v>
      </c>
      <c r="V42" s="308"/>
      <c r="W42" s="358"/>
      <c r="X42" s="259">
        <f t="shared" ref="X42:X51" si="5">((D42+I42+N42+S42)*100)/400</f>
        <v>79.875</v>
      </c>
      <c r="Y42" s="67"/>
      <c r="Z42" s="322">
        <f>SUM(X42:X51)/10</f>
        <v>68.3</v>
      </c>
      <c r="AA42" s="323"/>
    </row>
    <row r="43" spans="2:27" ht="15.95" customHeight="1">
      <c r="B43" s="321"/>
      <c r="C43" s="30" t="s">
        <v>41</v>
      </c>
      <c r="D43" s="29">
        <v>100</v>
      </c>
      <c r="E43" s="35"/>
      <c r="F43" s="320"/>
      <c r="G43" s="324"/>
      <c r="H43" s="53"/>
      <c r="I43" s="11">
        <v>100</v>
      </c>
      <c r="J43" s="47"/>
      <c r="K43" s="320"/>
      <c r="L43" s="309"/>
      <c r="M43" s="340"/>
      <c r="N43" s="163">
        <v>100</v>
      </c>
      <c r="O43" s="165"/>
      <c r="P43" s="320"/>
      <c r="Q43" s="369"/>
      <c r="R43" s="371"/>
      <c r="S43" s="239">
        <v>100</v>
      </c>
      <c r="T43" s="47"/>
      <c r="U43" s="340"/>
      <c r="V43" s="309"/>
      <c r="W43" s="358"/>
      <c r="X43" s="259">
        <f t="shared" si="5"/>
        <v>100</v>
      </c>
      <c r="Y43" s="65"/>
      <c r="Z43" s="322"/>
      <c r="AA43" s="323"/>
    </row>
    <row r="44" spans="2:27" ht="26.25" customHeight="1">
      <c r="B44" s="321"/>
      <c r="C44" s="30" t="s">
        <v>42</v>
      </c>
      <c r="D44" s="29">
        <v>33</v>
      </c>
      <c r="E44" s="38"/>
      <c r="F44" s="320"/>
      <c r="G44" s="324"/>
      <c r="H44" s="53"/>
      <c r="I44" s="11">
        <v>133</v>
      </c>
      <c r="J44" s="47"/>
      <c r="K44" s="320"/>
      <c r="L44" s="309"/>
      <c r="M44" s="340"/>
      <c r="N44" s="163">
        <v>100</v>
      </c>
      <c r="O44" s="165"/>
      <c r="P44" s="320"/>
      <c r="Q44" s="369"/>
      <c r="R44" s="371"/>
      <c r="S44" s="239">
        <v>108.5</v>
      </c>
      <c r="T44" s="47"/>
      <c r="U44" s="340"/>
      <c r="V44" s="309"/>
      <c r="W44" s="358"/>
      <c r="X44" s="259">
        <f t="shared" si="5"/>
        <v>93.625</v>
      </c>
      <c r="Y44" s="67"/>
      <c r="Z44" s="322"/>
      <c r="AA44" s="323"/>
    </row>
    <row r="45" spans="2:27" ht="15.95" customHeight="1">
      <c r="B45" s="321"/>
      <c r="C45" s="30" t="s">
        <v>43</v>
      </c>
      <c r="D45" s="29">
        <v>0</v>
      </c>
      <c r="E45" s="38"/>
      <c r="F45" s="320"/>
      <c r="G45" s="324"/>
      <c r="H45" s="53"/>
      <c r="I45" s="11">
        <v>0</v>
      </c>
      <c r="J45" s="48"/>
      <c r="K45" s="320"/>
      <c r="L45" s="309"/>
      <c r="M45" s="340"/>
      <c r="N45" s="163">
        <v>75</v>
      </c>
      <c r="O45" s="199"/>
      <c r="P45" s="320"/>
      <c r="Q45" s="369"/>
      <c r="R45" s="371"/>
      <c r="S45" s="239">
        <v>75</v>
      </c>
      <c r="T45" s="258"/>
      <c r="U45" s="340"/>
      <c r="V45" s="309"/>
      <c r="W45" s="358"/>
      <c r="X45" s="259">
        <f t="shared" si="5"/>
        <v>37.5</v>
      </c>
      <c r="Y45" s="68"/>
      <c r="Z45" s="322"/>
      <c r="AA45" s="323"/>
    </row>
    <row r="46" spans="2:27" ht="27" customHeight="1">
      <c r="B46" s="321"/>
      <c r="C46" s="30" t="s">
        <v>44</v>
      </c>
      <c r="D46" s="29">
        <v>67</v>
      </c>
      <c r="E46" s="37"/>
      <c r="F46" s="320"/>
      <c r="G46" s="324"/>
      <c r="H46" s="53"/>
      <c r="I46" s="11">
        <v>83</v>
      </c>
      <c r="J46" s="146"/>
      <c r="K46" s="320"/>
      <c r="L46" s="309"/>
      <c r="M46" s="340"/>
      <c r="N46" s="163">
        <v>100</v>
      </c>
      <c r="O46" s="165"/>
      <c r="P46" s="320"/>
      <c r="Q46" s="369"/>
      <c r="R46" s="371"/>
      <c r="S46" s="239">
        <v>95</v>
      </c>
      <c r="T46" s="238"/>
      <c r="U46" s="340"/>
      <c r="V46" s="309"/>
      <c r="W46" s="358"/>
      <c r="X46" s="259">
        <f t="shared" si="5"/>
        <v>86.25</v>
      </c>
      <c r="Y46" s="67"/>
      <c r="Z46" s="322"/>
      <c r="AA46" s="323"/>
    </row>
    <row r="47" spans="2:27" ht="15.95" customHeight="1">
      <c r="B47" s="321"/>
      <c r="C47" s="30" t="s">
        <v>45</v>
      </c>
      <c r="D47" s="29">
        <v>60</v>
      </c>
      <c r="E47" s="37"/>
      <c r="F47" s="320"/>
      <c r="G47" s="324"/>
      <c r="H47" s="53"/>
      <c r="I47" s="11">
        <v>53</v>
      </c>
      <c r="J47" s="176"/>
      <c r="K47" s="320"/>
      <c r="L47" s="309"/>
      <c r="M47" s="340"/>
      <c r="N47" s="163">
        <v>54</v>
      </c>
      <c r="O47" s="235"/>
      <c r="P47" s="320"/>
      <c r="Q47" s="369"/>
      <c r="R47" s="371"/>
      <c r="S47" s="239">
        <v>73.5</v>
      </c>
      <c r="T47" s="238"/>
      <c r="U47" s="340"/>
      <c r="V47" s="309"/>
      <c r="W47" s="358"/>
      <c r="X47" s="259">
        <f t="shared" si="5"/>
        <v>60.125</v>
      </c>
      <c r="Y47" s="67"/>
      <c r="Z47" s="322"/>
      <c r="AA47" s="323"/>
    </row>
    <row r="48" spans="2:27" ht="28.5" customHeight="1">
      <c r="B48" s="321"/>
      <c r="C48" s="30" t="s">
        <v>46</v>
      </c>
      <c r="D48" s="29">
        <v>0</v>
      </c>
      <c r="E48" s="38"/>
      <c r="F48" s="320"/>
      <c r="G48" s="324"/>
      <c r="H48" s="53"/>
      <c r="I48" s="11">
        <v>90</v>
      </c>
      <c r="J48" s="146"/>
      <c r="K48" s="320"/>
      <c r="L48" s="309"/>
      <c r="M48" s="340"/>
      <c r="N48" s="163">
        <v>0</v>
      </c>
      <c r="O48" s="14"/>
      <c r="P48" s="320"/>
      <c r="Q48" s="369"/>
      <c r="R48" s="371"/>
      <c r="S48" s="239">
        <v>74</v>
      </c>
      <c r="T48" s="258"/>
      <c r="U48" s="340"/>
      <c r="V48" s="309"/>
      <c r="W48" s="358"/>
      <c r="X48" s="259">
        <f t="shared" si="5"/>
        <v>41</v>
      </c>
      <c r="Y48" s="68"/>
      <c r="Z48" s="322"/>
      <c r="AA48" s="323"/>
    </row>
    <row r="49" spans="1:28" ht="15.95" customHeight="1">
      <c r="B49" s="321"/>
      <c r="C49" s="30" t="s">
        <v>47</v>
      </c>
      <c r="D49" s="29">
        <v>0</v>
      </c>
      <c r="E49" s="38"/>
      <c r="F49" s="320"/>
      <c r="G49" s="324"/>
      <c r="H49" s="53"/>
      <c r="I49" s="11">
        <v>0</v>
      </c>
      <c r="J49" s="48"/>
      <c r="K49" s="320"/>
      <c r="L49" s="309"/>
      <c r="M49" s="340"/>
      <c r="N49" s="163">
        <v>25</v>
      </c>
      <c r="O49" s="14"/>
      <c r="P49" s="320"/>
      <c r="Q49" s="369"/>
      <c r="R49" s="371"/>
      <c r="S49" s="239">
        <v>1</v>
      </c>
      <c r="T49" s="48"/>
      <c r="U49" s="340"/>
      <c r="V49" s="309"/>
      <c r="W49" s="358"/>
      <c r="X49" s="259">
        <f t="shared" si="5"/>
        <v>6.5</v>
      </c>
      <c r="Y49" s="68"/>
      <c r="Z49" s="322"/>
      <c r="AA49" s="323"/>
    </row>
    <row r="50" spans="1:28" ht="15.95" customHeight="1">
      <c r="B50" s="321"/>
      <c r="C50" s="30" t="s">
        <v>48</v>
      </c>
      <c r="D50" s="29">
        <v>100</v>
      </c>
      <c r="E50" s="35"/>
      <c r="F50" s="320"/>
      <c r="G50" s="324"/>
      <c r="H50" s="53"/>
      <c r="I50" s="11">
        <v>102</v>
      </c>
      <c r="J50" s="47"/>
      <c r="K50" s="320"/>
      <c r="L50" s="309"/>
      <c r="M50" s="340"/>
      <c r="N50" s="163">
        <v>77.5</v>
      </c>
      <c r="O50" s="157"/>
      <c r="P50" s="320"/>
      <c r="Q50" s="369"/>
      <c r="R50" s="371"/>
      <c r="S50" s="239">
        <v>75</v>
      </c>
      <c r="T50" s="238"/>
      <c r="U50" s="340"/>
      <c r="V50" s="309"/>
      <c r="W50" s="358"/>
      <c r="X50" s="259">
        <f t="shared" si="5"/>
        <v>88.625</v>
      </c>
      <c r="Y50" s="67"/>
      <c r="Z50" s="322"/>
      <c r="AA50" s="323"/>
    </row>
    <row r="51" spans="1:28" ht="15.95" customHeight="1">
      <c r="B51" s="321"/>
      <c r="C51" s="30" t="s">
        <v>49</v>
      </c>
      <c r="D51" s="29">
        <v>75</v>
      </c>
      <c r="E51" s="37"/>
      <c r="F51" s="320"/>
      <c r="G51" s="324"/>
      <c r="H51" s="53"/>
      <c r="I51" s="11">
        <v>83</v>
      </c>
      <c r="J51" s="146"/>
      <c r="K51" s="320"/>
      <c r="L51" s="310"/>
      <c r="M51" s="340"/>
      <c r="N51" s="163">
        <v>100</v>
      </c>
      <c r="O51" s="165"/>
      <c r="P51" s="320"/>
      <c r="Q51" s="370"/>
      <c r="R51" s="371"/>
      <c r="S51" s="239">
        <v>100</v>
      </c>
      <c r="T51" s="47"/>
      <c r="U51" s="341"/>
      <c r="V51" s="310"/>
      <c r="W51" s="358"/>
      <c r="X51" s="259">
        <f t="shared" si="5"/>
        <v>89.5</v>
      </c>
      <c r="Y51" s="67"/>
      <c r="Z51" s="322"/>
      <c r="AA51" s="323"/>
    </row>
    <row r="52" spans="1:28" ht="15.95" customHeight="1">
      <c r="B52" s="362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4"/>
    </row>
    <row r="53" spans="1:28">
      <c r="B53" s="39" t="s">
        <v>59</v>
      </c>
      <c r="C53" s="39"/>
      <c r="D53" s="359">
        <f>(F7+F9+F14+F17+F22+F35+F42)/7</f>
        <v>68.209523809523802</v>
      </c>
      <c r="E53" s="360"/>
      <c r="F53" s="361"/>
      <c r="G53" s="36"/>
      <c r="H53" s="53"/>
      <c r="I53" s="359">
        <f>(K7+K9+K14+K17+K22+K35+K42)/7</f>
        <v>86.164285714285711</v>
      </c>
      <c r="J53" s="360"/>
      <c r="K53" s="361"/>
      <c r="L53" s="49"/>
      <c r="M53" s="63"/>
      <c r="N53" s="359">
        <f>(P7+P9+P14+P17+P22+P35+P42)/7</f>
        <v>86.196428571428569</v>
      </c>
      <c r="O53" s="360"/>
      <c r="P53" s="361"/>
      <c r="Q53" s="238"/>
      <c r="S53" s="359">
        <f>(U7+U9+U14+U17+U22+U35+U42)/7</f>
        <v>96.75</v>
      </c>
      <c r="T53" s="360"/>
      <c r="U53" s="361"/>
      <c r="V53" s="238"/>
      <c r="X53" s="359">
        <f>(Z7+Z9+Z14+Z17+Z22+Z35+Z42)/7</f>
        <v>84.044345238095232</v>
      </c>
      <c r="Y53" s="360"/>
      <c r="Z53" s="361"/>
      <c r="AA53" s="7"/>
    </row>
    <row r="54" spans="1:28" s="192" customFormat="1">
      <c r="B54" s="188"/>
      <c r="C54" s="184"/>
      <c r="D54" s="184"/>
      <c r="E54" s="184"/>
      <c r="F54" s="184"/>
      <c r="G54" s="184"/>
      <c r="H54" s="184"/>
      <c r="I54" s="184"/>
      <c r="J54" s="184"/>
      <c r="K54" s="184"/>
      <c r="L54" s="185"/>
      <c r="M54" s="185"/>
      <c r="N54" s="184"/>
      <c r="O54" s="184"/>
      <c r="P54" s="184"/>
      <c r="Q54" s="185"/>
      <c r="R54" s="251"/>
      <c r="S54" s="185"/>
      <c r="T54" s="185"/>
      <c r="U54" s="185"/>
      <c r="V54" s="185"/>
      <c r="W54" s="251"/>
      <c r="X54" s="185"/>
      <c r="Y54" s="186"/>
      <c r="Z54" s="187"/>
      <c r="AA54" s="188"/>
    </row>
    <row r="57" spans="1:28" ht="18" customHeight="1"/>
    <row r="58" spans="1:28" ht="18" customHeight="1"/>
    <row r="59" spans="1:28" ht="18" customHeight="1"/>
    <row r="60" spans="1:28" ht="18" customHeight="1"/>
    <row r="61" spans="1:28" s="17" customFormat="1" ht="43.5" customHeight="1">
      <c r="A61" s="250"/>
      <c r="R61" s="240"/>
      <c r="S61" s="89"/>
      <c r="T61" s="89"/>
      <c r="U61" s="89"/>
      <c r="V61" s="89"/>
      <c r="W61" s="240"/>
      <c r="AB61" s="250"/>
    </row>
    <row r="62" spans="1:28" s="17" customFormat="1" ht="15" customHeight="1">
      <c r="A62" s="250"/>
      <c r="R62" s="240"/>
      <c r="S62" s="89"/>
      <c r="T62" s="89"/>
      <c r="U62" s="89"/>
      <c r="V62" s="89"/>
      <c r="W62" s="240"/>
      <c r="AB62" s="250"/>
    </row>
    <row r="63" spans="1:28" ht="15.95" customHeight="1"/>
    <row r="64" spans="1:28" ht="15.95" customHeight="1"/>
    <row r="65" ht="15.95" customHeight="1"/>
    <row r="66" ht="15.95" customHeight="1"/>
    <row r="67" ht="15.95" customHeight="1"/>
    <row r="68" ht="27.75" customHeight="1"/>
    <row r="69" ht="18.75" customHeight="1"/>
    <row r="70" ht="15.95" customHeight="1"/>
    <row r="71" ht="15.95" customHeight="1"/>
    <row r="72" ht="15.95" customHeight="1"/>
    <row r="73" ht="27" customHeight="1"/>
    <row r="74" ht="27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24.7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27.75" customHeight="1"/>
    <row r="95" ht="27" customHeight="1"/>
    <row r="96" ht="15.95" customHeight="1"/>
    <row r="97" ht="15.95" customHeight="1"/>
    <row r="98" ht="27.75" customHeight="1"/>
    <row r="99" ht="15.95" customHeight="1"/>
    <row r="100" ht="26.25" customHeight="1"/>
    <row r="101" ht="15.95" customHeight="1"/>
    <row r="102" ht="27" customHeight="1"/>
    <row r="103" ht="15.95" customHeight="1"/>
    <row r="104" ht="30" customHeight="1"/>
    <row r="105" ht="15.95" customHeight="1"/>
    <row r="106" ht="15.95" customHeight="1"/>
    <row r="107" ht="15.95" customHeight="1"/>
    <row r="108" ht="15.95" customHeight="1"/>
  </sheetData>
  <mergeCells count="111">
    <mergeCell ref="R14:R15"/>
    <mergeCell ref="R35:R40"/>
    <mergeCell ref="W35:W40"/>
    <mergeCell ref="G22:G33"/>
    <mergeCell ref="K22:K33"/>
    <mergeCell ref="L22:L33"/>
    <mergeCell ref="P22:P33"/>
    <mergeCell ref="H35:H40"/>
    <mergeCell ref="B22:B33"/>
    <mergeCell ref="V14:V15"/>
    <mergeCell ref="U14:U15"/>
    <mergeCell ref="H22:H33"/>
    <mergeCell ref="M22:M33"/>
    <mergeCell ref="R22:R33"/>
    <mergeCell ref="G17:G20"/>
    <mergeCell ref="Z22:Z33"/>
    <mergeCell ref="AA22:AA33"/>
    <mergeCell ref="F22:F33"/>
    <mergeCell ref="P17:P20"/>
    <mergeCell ref="Q17:Q20"/>
    <mergeCell ref="H17:H20"/>
    <mergeCell ref="M17:M20"/>
    <mergeCell ref="S53:U53"/>
    <mergeCell ref="V42:V51"/>
    <mergeCell ref="U42:U51"/>
    <mergeCell ref="V35:V40"/>
    <mergeCell ref="U35:U40"/>
    <mergeCell ref="R42:R51"/>
    <mergeCell ref="K35:K40"/>
    <mergeCell ref="K42:K51"/>
    <mergeCell ref="L42:L51"/>
    <mergeCell ref="L35:L40"/>
    <mergeCell ref="M35:M40"/>
    <mergeCell ref="M42:M51"/>
    <mergeCell ref="W42:W51"/>
    <mergeCell ref="R17:R20"/>
    <mergeCell ref="V17:V20"/>
    <mergeCell ref="U17:U20"/>
    <mergeCell ref="Q22:Q33"/>
    <mergeCell ref="V9:V12"/>
    <mergeCell ref="U9:U12"/>
    <mergeCell ref="W14:W15"/>
    <mergeCell ref="W17:W20"/>
    <mergeCell ref="W22:W33"/>
    <mergeCell ref="X53:Z53"/>
    <mergeCell ref="D53:F53"/>
    <mergeCell ref="B13:AA13"/>
    <mergeCell ref="B6:AA6"/>
    <mergeCell ref="B16:AA16"/>
    <mergeCell ref="B21:AA21"/>
    <mergeCell ref="L9:L12"/>
    <mergeCell ref="L14:L15"/>
    <mergeCell ref="L17:L20"/>
    <mergeCell ref="I53:K53"/>
    <mergeCell ref="B34:AA34"/>
    <mergeCell ref="B41:AA41"/>
    <mergeCell ref="B52:AA52"/>
    <mergeCell ref="F9:F12"/>
    <mergeCell ref="G9:G12"/>
    <mergeCell ref="F14:F15"/>
    <mergeCell ref="P42:P51"/>
    <mergeCell ref="Q42:Q51"/>
    <mergeCell ref="N53:P53"/>
    <mergeCell ref="B1:AA1"/>
    <mergeCell ref="B2:AA2"/>
    <mergeCell ref="B14:B15"/>
    <mergeCell ref="Z14:Z15"/>
    <mergeCell ref="AA14:AA15"/>
    <mergeCell ref="D4:G4"/>
    <mergeCell ref="C4:C5"/>
    <mergeCell ref="B4:B5"/>
    <mergeCell ref="K9:K12"/>
    <mergeCell ref="K14:K15"/>
    <mergeCell ref="G14:G15"/>
    <mergeCell ref="N4:Q4"/>
    <mergeCell ref="P9:P12"/>
    <mergeCell ref="Q9:Q12"/>
    <mergeCell ref="P14:P15"/>
    <mergeCell ref="Q14:Q15"/>
    <mergeCell ref="S4:V4"/>
    <mergeCell ref="H9:H12"/>
    <mergeCell ref="M9:M12"/>
    <mergeCell ref="H14:H15"/>
    <mergeCell ref="M14:M15"/>
    <mergeCell ref="B9:B12"/>
    <mergeCell ref="Z9:Z12"/>
    <mergeCell ref="AA9:AA12"/>
    <mergeCell ref="B42:B51"/>
    <mergeCell ref="Z42:Z51"/>
    <mergeCell ref="AA42:AA51"/>
    <mergeCell ref="F35:F40"/>
    <mergeCell ref="G35:G40"/>
    <mergeCell ref="I4:L4"/>
    <mergeCell ref="B17:B20"/>
    <mergeCell ref="X4:AA4"/>
    <mergeCell ref="K17:K20"/>
    <mergeCell ref="F17:F20"/>
    <mergeCell ref="B35:B40"/>
    <mergeCell ref="Z35:Z40"/>
    <mergeCell ref="AA35:AA40"/>
    <mergeCell ref="P35:P40"/>
    <mergeCell ref="Q35:Q40"/>
    <mergeCell ref="Z17:Z20"/>
    <mergeCell ref="AA17:AA20"/>
    <mergeCell ref="F42:F51"/>
    <mergeCell ref="G42:G51"/>
    <mergeCell ref="B8:AA8"/>
    <mergeCell ref="W9:W12"/>
    <mergeCell ref="R9:R12"/>
    <mergeCell ref="V22:V33"/>
    <mergeCell ref="U22:U33"/>
  </mergeCells>
  <pageMargins left="0.70866141732283472" right="0.70866141732283472" top="0.74803149606299213" bottom="0.74803149606299213" header="0.31496062992125984" footer="0.31496062992125984"/>
  <pageSetup paperSize="5" scale="95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67"/>
  <sheetViews>
    <sheetView zoomScale="65" zoomScaleNormal="65" workbookViewId="0">
      <pane ySplit="5" topLeftCell="A12" activePane="bottomLeft" state="frozen"/>
      <selection pane="bottomLeft" activeCell="E39" sqref="E39"/>
    </sheetView>
  </sheetViews>
  <sheetFormatPr baseColWidth="10" defaultRowHeight="15"/>
  <cols>
    <col min="1" max="1" width="3.140625" customWidth="1"/>
    <col min="2" max="2" width="23.7109375" style="2" customWidth="1"/>
    <col min="3" max="3" width="26.7109375" style="8" customWidth="1"/>
    <col min="4" max="4" width="19.28515625" style="10" customWidth="1"/>
    <col min="5" max="5" width="7.7109375" style="3" customWidth="1"/>
    <col min="6" max="6" width="15" style="19" customWidth="1"/>
    <col min="7" max="7" width="7.7109375" style="2" customWidth="1"/>
  </cols>
  <sheetData>
    <row r="1" spans="2:7" ht="18" customHeight="1">
      <c r="B1" s="294" t="s">
        <v>100</v>
      </c>
      <c r="C1" s="294"/>
      <c r="D1" s="294"/>
      <c r="E1" s="294"/>
      <c r="F1" s="294"/>
      <c r="G1" s="294"/>
    </row>
    <row r="2" spans="2:7" ht="18" customHeight="1">
      <c r="B2" s="294" t="s">
        <v>94</v>
      </c>
      <c r="C2" s="294"/>
      <c r="D2" s="294"/>
      <c r="E2" s="294"/>
      <c r="F2" s="294"/>
      <c r="G2" s="294"/>
    </row>
    <row r="3" spans="2:7" ht="11.25" customHeight="1">
      <c r="B3" s="300"/>
      <c r="C3" s="300"/>
      <c r="D3" s="300"/>
      <c r="E3" s="300"/>
      <c r="F3" s="300"/>
      <c r="G3" s="300"/>
    </row>
    <row r="4" spans="2:7" s="17" customFormat="1" ht="43.5" customHeight="1">
      <c r="B4" s="154" t="s">
        <v>0</v>
      </c>
      <c r="C4" s="154" t="s">
        <v>1</v>
      </c>
      <c r="D4" s="106" t="s">
        <v>8</v>
      </c>
      <c r="E4" s="154"/>
      <c r="F4" s="144" t="s">
        <v>9</v>
      </c>
      <c r="G4" s="16"/>
    </row>
    <row r="5" spans="2:7" s="1" customFormat="1" ht="9" customHeight="1">
      <c r="B5" s="297"/>
      <c r="C5" s="298"/>
      <c r="D5" s="298"/>
      <c r="E5" s="298"/>
      <c r="F5" s="298"/>
      <c r="G5" s="299"/>
    </row>
    <row r="6" spans="2:7" ht="15.95" customHeight="1">
      <c r="B6" s="4" t="s">
        <v>3</v>
      </c>
      <c r="C6" s="151"/>
      <c r="D6" s="155">
        <v>100</v>
      </c>
      <c r="E6" s="5"/>
      <c r="F6" s="150">
        <f>D6/1</f>
        <v>100</v>
      </c>
      <c r="G6" s="5"/>
    </row>
    <row r="7" spans="2:7" ht="9" customHeight="1">
      <c r="B7" s="270"/>
      <c r="C7" s="271"/>
      <c r="D7" s="271"/>
      <c r="E7" s="271"/>
      <c r="F7" s="271"/>
      <c r="G7" s="272"/>
    </row>
    <row r="8" spans="2:7" ht="30" customHeight="1">
      <c r="B8" s="293" t="s">
        <v>2</v>
      </c>
      <c r="C8" s="151" t="s">
        <v>4</v>
      </c>
      <c r="D8" s="155">
        <v>143</v>
      </c>
      <c r="E8" s="5"/>
      <c r="F8" s="291">
        <f>SUM(D8:D11)/4</f>
        <v>100.875</v>
      </c>
      <c r="G8" s="373"/>
    </row>
    <row r="9" spans="2:7" ht="15.95" customHeight="1">
      <c r="B9" s="293"/>
      <c r="C9" s="151" t="s">
        <v>5</v>
      </c>
      <c r="D9" s="155">
        <v>72.5</v>
      </c>
      <c r="E9" s="7"/>
      <c r="F9" s="291"/>
      <c r="G9" s="373"/>
    </row>
    <row r="10" spans="2:7" ht="15.95" customHeight="1">
      <c r="B10" s="293"/>
      <c r="C10" s="151" t="s">
        <v>6</v>
      </c>
      <c r="D10" s="155">
        <v>100</v>
      </c>
      <c r="E10" s="5"/>
      <c r="F10" s="291"/>
      <c r="G10" s="373"/>
    </row>
    <row r="11" spans="2:7" ht="27.75" customHeight="1">
      <c r="B11" s="293"/>
      <c r="C11" s="151" t="s">
        <v>7</v>
      </c>
      <c r="D11" s="155">
        <v>88</v>
      </c>
      <c r="E11" s="7"/>
      <c r="F11" s="291"/>
      <c r="G11" s="373"/>
    </row>
    <row r="12" spans="2:7" ht="9" customHeight="1">
      <c r="B12" s="288"/>
      <c r="C12" s="289"/>
      <c r="D12" s="289"/>
      <c r="E12" s="289"/>
      <c r="F12" s="289"/>
      <c r="G12" s="290"/>
    </row>
    <row r="13" spans="2:7" ht="15.95" customHeight="1">
      <c r="B13" s="293" t="s">
        <v>11</v>
      </c>
      <c r="C13" s="151" t="s">
        <v>12</v>
      </c>
      <c r="D13" s="155">
        <v>100</v>
      </c>
      <c r="E13" s="12"/>
      <c r="F13" s="291">
        <f>(D13+D14)/2</f>
        <v>90</v>
      </c>
      <c r="G13" s="282"/>
    </row>
    <row r="14" spans="2:7" ht="15.95" customHeight="1">
      <c r="B14" s="293"/>
      <c r="C14" s="151" t="s">
        <v>13</v>
      </c>
      <c r="D14" s="155">
        <v>80</v>
      </c>
      <c r="E14" s="152"/>
      <c r="F14" s="291"/>
      <c r="G14" s="284"/>
    </row>
    <row r="15" spans="2:7" ht="9" customHeight="1">
      <c r="B15" s="288"/>
      <c r="C15" s="289"/>
      <c r="D15" s="289"/>
      <c r="E15" s="289"/>
      <c r="F15" s="289"/>
      <c r="G15" s="290"/>
    </row>
    <row r="16" spans="2:7" ht="27" customHeight="1">
      <c r="B16" s="293" t="s">
        <v>14</v>
      </c>
      <c r="C16" s="151" t="s">
        <v>15</v>
      </c>
      <c r="D16" s="155">
        <v>132</v>
      </c>
      <c r="E16" s="152"/>
      <c r="F16" s="291">
        <f>SUM(D16:D19)/4</f>
        <v>99.125</v>
      </c>
      <c r="G16" s="295"/>
    </row>
    <row r="17" spans="2:7" ht="27" customHeight="1">
      <c r="B17" s="293"/>
      <c r="C17" s="151" t="s">
        <v>93</v>
      </c>
      <c r="D17" s="155">
        <v>85</v>
      </c>
      <c r="E17" s="152"/>
      <c r="F17" s="291"/>
      <c r="G17" s="372"/>
    </row>
    <row r="18" spans="2:7" ht="22.5" customHeight="1">
      <c r="B18" s="293"/>
      <c r="C18" s="151" t="s">
        <v>17</v>
      </c>
      <c r="D18" s="155">
        <v>94.5</v>
      </c>
      <c r="E18" s="152"/>
      <c r="F18" s="291"/>
      <c r="G18" s="372"/>
    </row>
    <row r="19" spans="2:7" ht="15.95" customHeight="1">
      <c r="B19" s="293"/>
      <c r="C19" s="151" t="s">
        <v>18</v>
      </c>
      <c r="D19" s="155">
        <v>85</v>
      </c>
      <c r="E19" s="157"/>
      <c r="F19" s="291"/>
      <c r="G19" s="296"/>
    </row>
    <row r="20" spans="2:7" ht="9" customHeight="1">
      <c r="B20" s="270"/>
      <c r="C20" s="271"/>
      <c r="D20" s="271"/>
      <c r="E20" s="271"/>
      <c r="F20" s="271"/>
      <c r="G20" s="272"/>
    </row>
    <row r="21" spans="2:7" ht="15.95" customHeight="1">
      <c r="B21" s="285" t="s">
        <v>19</v>
      </c>
      <c r="C21" s="151" t="s">
        <v>20</v>
      </c>
      <c r="D21" s="155">
        <v>85</v>
      </c>
      <c r="E21" s="152"/>
      <c r="F21" s="279">
        <f>SUM(D21:D32)/12</f>
        <v>79.166666666666671</v>
      </c>
      <c r="G21" s="282"/>
    </row>
    <row r="22" spans="2:7" ht="15.95" customHeight="1">
      <c r="B22" s="286"/>
      <c r="C22" s="151" t="s">
        <v>21</v>
      </c>
      <c r="D22" s="155">
        <v>75.5</v>
      </c>
      <c r="E22" s="204"/>
      <c r="F22" s="280"/>
      <c r="G22" s="283"/>
    </row>
    <row r="23" spans="2:7" ht="15.95" customHeight="1">
      <c r="B23" s="286"/>
      <c r="C23" s="151" t="s">
        <v>22</v>
      </c>
      <c r="D23" s="155">
        <v>100</v>
      </c>
      <c r="E23" s="12"/>
      <c r="F23" s="280"/>
      <c r="G23" s="283"/>
    </row>
    <row r="24" spans="2:7" ht="15.95" customHeight="1">
      <c r="B24" s="286"/>
      <c r="C24" s="151" t="s">
        <v>23</v>
      </c>
      <c r="D24" s="155">
        <v>100</v>
      </c>
      <c r="E24" s="12"/>
      <c r="F24" s="280"/>
      <c r="G24" s="283"/>
    </row>
    <row r="25" spans="2:7" ht="15.95" customHeight="1">
      <c r="B25" s="286"/>
      <c r="C25" s="151" t="s">
        <v>24</v>
      </c>
      <c r="D25" s="155">
        <v>86</v>
      </c>
      <c r="E25" s="152"/>
      <c r="F25" s="280"/>
      <c r="G25" s="283"/>
    </row>
    <row r="26" spans="2:7" ht="15.95" customHeight="1">
      <c r="B26" s="286"/>
      <c r="C26" s="151" t="s">
        <v>25</v>
      </c>
      <c r="D26" s="155">
        <v>88</v>
      </c>
      <c r="E26" s="204"/>
      <c r="F26" s="280"/>
      <c r="G26" s="283"/>
    </row>
    <row r="27" spans="2:7" ht="15.95" customHeight="1">
      <c r="B27" s="286"/>
      <c r="C27" s="151" t="s">
        <v>26</v>
      </c>
      <c r="D27" s="155">
        <v>78.5</v>
      </c>
      <c r="E27" s="152"/>
      <c r="F27" s="280"/>
      <c r="G27" s="283"/>
    </row>
    <row r="28" spans="2:7" ht="29.25" customHeight="1">
      <c r="B28" s="286"/>
      <c r="C28" s="151" t="s">
        <v>27</v>
      </c>
      <c r="D28" s="155">
        <v>87</v>
      </c>
      <c r="E28" s="152"/>
      <c r="F28" s="280"/>
      <c r="G28" s="283"/>
    </row>
    <row r="29" spans="2:7" ht="15.95" customHeight="1">
      <c r="B29" s="286"/>
      <c r="C29" s="151" t="s">
        <v>28</v>
      </c>
      <c r="D29" s="155">
        <v>13</v>
      </c>
      <c r="E29" s="14"/>
      <c r="F29" s="280"/>
      <c r="G29" s="283"/>
    </row>
    <row r="30" spans="2:7" ht="15.95" customHeight="1">
      <c r="B30" s="286"/>
      <c r="C30" s="151" t="s">
        <v>29</v>
      </c>
      <c r="D30" s="155">
        <v>79</v>
      </c>
      <c r="E30" s="152"/>
      <c r="F30" s="280"/>
      <c r="G30" s="283"/>
    </row>
    <row r="31" spans="2:7" ht="15.95" customHeight="1">
      <c r="B31" s="286"/>
      <c r="C31" s="151" t="s">
        <v>30</v>
      </c>
      <c r="D31" s="155">
        <v>88</v>
      </c>
      <c r="E31" s="204"/>
      <c r="F31" s="280"/>
      <c r="G31" s="283"/>
    </row>
    <row r="32" spans="2:7" ht="15.95" customHeight="1">
      <c r="B32" s="287"/>
      <c r="C32" s="151" t="s">
        <v>31</v>
      </c>
      <c r="D32" s="155">
        <v>70</v>
      </c>
      <c r="E32" s="152"/>
      <c r="F32" s="281"/>
      <c r="G32" s="284"/>
    </row>
    <row r="33" spans="2:7" ht="9" customHeight="1">
      <c r="B33" s="270"/>
      <c r="C33" s="271"/>
      <c r="D33" s="271"/>
      <c r="E33" s="271"/>
      <c r="F33" s="271"/>
      <c r="G33" s="272"/>
    </row>
    <row r="34" spans="2:7" ht="26.25" customHeight="1">
      <c r="B34" s="285" t="s">
        <v>32</v>
      </c>
      <c r="C34" s="151" t="s">
        <v>33</v>
      </c>
      <c r="D34" s="155">
        <v>56</v>
      </c>
      <c r="E34" s="14"/>
      <c r="F34" s="279">
        <f>SUM(D34:D39)/6</f>
        <v>43.916666666666664</v>
      </c>
      <c r="G34" s="374"/>
    </row>
    <row r="35" spans="2:7" ht="15.95" customHeight="1">
      <c r="B35" s="286"/>
      <c r="C35" s="151" t="s">
        <v>34</v>
      </c>
      <c r="D35" s="155">
        <v>52</v>
      </c>
      <c r="E35" s="14"/>
      <c r="F35" s="280"/>
      <c r="G35" s="375"/>
    </row>
    <row r="36" spans="2:7" ht="15.95" customHeight="1">
      <c r="B36" s="286"/>
      <c r="C36" s="151" t="s">
        <v>35</v>
      </c>
      <c r="D36" s="155">
        <v>91</v>
      </c>
      <c r="E36" s="157"/>
      <c r="F36" s="280"/>
      <c r="G36" s="375"/>
    </row>
    <row r="37" spans="2:7" ht="27.75" customHeight="1">
      <c r="B37" s="286"/>
      <c r="C37" s="151" t="s">
        <v>36</v>
      </c>
      <c r="D37" s="155">
        <v>12.5</v>
      </c>
      <c r="E37" s="14"/>
      <c r="F37" s="280"/>
      <c r="G37" s="375"/>
    </row>
    <row r="38" spans="2:7" ht="27" customHeight="1">
      <c r="B38" s="286"/>
      <c r="C38" s="151" t="s">
        <v>37</v>
      </c>
      <c r="D38" s="155">
        <v>0</v>
      </c>
      <c r="E38" s="14"/>
      <c r="F38" s="280"/>
      <c r="G38" s="375"/>
    </row>
    <row r="39" spans="2:7" ht="15.95" customHeight="1">
      <c r="B39" s="287"/>
      <c r="C39" s="151" t="s">
        <v>38</v>
      </c>
      <c r="D39" s="155">
        <v>52</v>
      </c>
      <c r="E39" s="14"/>
      <c r="F39" s="281"/>
      <c r="G39" s="376"/>
    </row>
    <row r="40" spans="2:7" ht="9" customHeight="1">
      <c r="B40" s="270"/>
      <c r="C40" s="271"/>
      <c r="D40" s="271"/>
      <c r="E40" s="271"/>
      <c r="F40" s="271"/>
      <c r="G40" s="272"/>
    </row>
    <row r="41" spans="2:7" ht="27.75" customHeight="1">
      <c r="B41" s="276" t="s">
        <v>39</v>
      </c>
      <c r="C41" s="151" t="s">
        <v>40</v>
      </c>
      <c r="D41" s="155">
        <v>91.5</v>
      </c>
      <c r="E41" s="12"/>
      <c r="F41" s="279">
        <f>SUM(D41:D50)/8</f>
        <v>90.375</v>
      </c>
      <c r="G41" s="282"/>
    </row>
    <row r="42" spans="2:7" ht="15.95" customHeight="1">
      <c r="B42" s="277"/>
      <c r="C42" s="151" t="s">
        <v>41</v>
      </c>
      <c r="D42" s="155">
        <v>100</v>
      </c>
      <c r="E42" s="12"/>
      <c r="F42" s="280"/>
      <c r="G42" s="283"/>
    </row>
    <row r="43" spans="2:7" ht="26.25" customHeight="1">
      <c r="B43" s="277"/>
      <c r="C43" s="151" t="s">
        <v>42</v>
      </c>
      <c r="D43" s="155">
        <v>100</v>
      </c>
      <c r="E43" s="12"/>
      <c r="F43" s="280"/>
      <c r="G43" s="283"/>
    </row>
    <row r="44" spans="2:7" ht="15.95" customHeight="1">
      <c r="B44" s="277"/>
      <c r="C44" s="151" t="s">
        <v>43</v>
      </c>
      <c r="D44" s="155">
        <v>75</v>
      </c>
      <c r="E44" s="204"/>
      <c r="F44" s="280"/>
      <c r="G44" s="283"/>
    </row>
    <row r="45" spans="2:7" ht="27" customHeight="1">
      <c r="B45" s="277"/>
      <c r="C45" s="151" t="s">
        <v>44</v>
      </c>
      <c r="D45" s="155">
        <v>100</v>
      </c>
      <c r="E45" s="12"/>
      <c r="F45" s="280"/>
      <c r="G45" s="283"/>
    </row>
    <row r="46" spans="2:7" ht="29.25" customHeight="1">
      <c r="B46" s="277"/>
      <c r="C46" s="151" t="s">
        <v>45</v>
      </c>
      <c r="D46" s="155">
        <v>54</v>
      </c>
      <c r="E46" s="14"/>
      <c r="F46" s="280"/>
      <c r="G46" s="283"/>
    </row>
    <row r="47" spans="2:7" ht="30" customHeight="1">
      <c r="B47" s="277"/>
      <c r="C47" s="151" t="s">
        <v>46</v>
      </c>
      <c r="D47" s="155">
        <v>0</v>
      </c>
      <c r="E47" s="14"/>
      <c r="F47" s="280"/>
      <c r="G47" s="283"/>
    </row>
    <row r="48" spans="2:7" ht="15.95" customHeight="1">
      <c r="B48" s="277"/>
      <c r="C48" s="151" t="s">
        <v>47</v>
      </c>
      <c r="D48" s="155">
        <v>25</v>
      </c>
      <c r="E48" s="14"/>
      <c r="F48" s="280"/>
      <c r="G48" s="283"/>
    </row>
    <row r="49" spans="2:10" ht="26.25" customHeight="1">
      <c r="B49" s="277"/>
      <c r="C49" s="151" t="s">
        <v>48</v>
      </c>
      <c r="D49" s="155">
        <v>77.5</v>
      </c>
      <c r="E49" s="152"/>
      <c r="F49" s="280"/>
      <c r="G49" s="283"/>
      <c r="J49" t="s">
        <v>124</v>
      </c>
    </row>
    <row r="50" spans="2:10" ht="15.95" customHeight="1">
      <c r="B50" s="278"/>
      <c r="C50" s="151" t="s">
        <v>49</v>
      </c>
      <c r="D50" s="155">
        <v>100</v>
      </c>
      <c r="E50" s="12"/>
      <c r="F50" s="281"/>
      <c r="G50" s="284"/>
    </row>
    <row r="51" spans="2:10" ht="9" customHeight="1">
      <c r="B51" s="270"/>
      <c r="C51" s="271"/>
      <c r="D51" s="271"/>
      <c r="E51" s="271"/>
      <c r="F51" s="271"/>
      <c r="G51" s="272"/>
    </row>
    <row r="52" spans="2:10" ht="15.95" customHeight="1">
      <c r="B52" s="273" t="s">
        <v>125</v>
      </c>
      <c r="C52" s="274"/>
      <c r="D52" s="274"/>
      <c r="E52" s="275"/>
      <c r="F52" s="153">
        <f>SUM(F6+F8+F13+F16+F21+F34+F41)/7</f>
        <v>86.208333333333343</v>
      </c>
      <c r="G52" s="7"/>
    </row>
    <row r="67" spans="3:3">
      <c r="C67" s="2"/>
    </row>
  </sheetData>
  <mergeCells count="30">
    <mergeCell ref="B52:E52"/>
    <mergeCell ref="B20:G20"/>
    <mergeCell ref="B21:B32"/>
    <mergeCell ref="F21:F32"/>
    <mergeCell ref="G21:G32"/>
    <mergeCell ref="B33:G33"/>
    <mergeCell ref="B34:B39"/>
    <mergeCell ref="F34:F39"/>
    <mergeCell ref="G34:G39"/>
    <mergeCell ref="B40:G40"/>
    <mergeCell ref="B41:B50"/>
    <mergeCell ref="F41:F50"/>
    <mergeCell ref="G41:G50"/>
    <mergeCell ref="B51:G51"/>
    <mergeCell ref="B16:B19"/>
    <mergeCell ref="F16:F19"/>
    <mergeCell ref="G16:G19"/>
    <mergeCell ref="B1:G1"/>
    <mergeCell ref="B2:G2"/>
    <mergeCell ref="B3:G3"/>
    <mergeCell ref="B5:G5"/>
    <mergeCell ref="B7:G7"/>
    <mergeCell ref="B8:B11"/>
    <mergeCell ref="F8:F11"/>
    <mergeCell ref="G8:G11"/>
    <mergeCell ref="B12:G12"/>
    <mergeCell ref="B13:B14"/>
    <mergeCell ref="F13:F14"/>
    <mergeCell ref="G13:G14"/>
    <mergeCell ref="B15:G15"/>
  </mergeCells>
  <pageMargins left="0.70866141732283472" right="0.70866141732283472" top="0.74803149606299213" bottom="0.74803149606299213" header="0.31496062992125984" footer="0.31496062992125984"/>
  <pageSetup scale="95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5"/>
  <sheetViews>
    <sheetView topLeftCell="A4" zoomScale="98" zoomScaleNormal="98" workbookViewId="0">
      <pane ySplit="1" topLeftCell="A35" activePane="bottomLeft" state="frozen"/>
      <selection activeCell="A4" sqref="A4"/>
      <selection pane="bottomLeft" activeCell="C37" sqref="C37"/>
    </sheetView>
  </sheetViews>
  <sheetFormatPr baseColWidth="10" defaultRowHeight="15"/>
  <cols>
    <col min="1" max="1" width="23.7109375" style="2" customWidth="1"/>
    <col min="2" max="2" width="26.7109375" style="8" customWidth="1"/>
    <col min="3" max="3" width="12.7109375" style="10" customWidth="1"/>
    <col min="4" max="4" width="7.5703125" style="8" customWidth="1"/>
    <col min="5" max="5" width="8.42578125" style="8" customWidth="1"/>
    <col min="6" max="6" width="6.85546875" style="8" customWidth="1"/>
    <col min="7" max="7" width="9.7109375" style="10" customWidth="1"/>
    <col min="8" max="8" width="7.7109375" style="3" customWidth="1"/>
    <col min="9" max="9" width="8.7109375" style="19" customWidth="1"/>
    <col min="10" max="10" width="7.7109375" style="2" customWidth="1"/>
    <col min="11" max="11" width="3.42578125" customWidth="1"/>
    <col min="12" max="12" width="16" style="10" customWidth="1"/>
    <col min="13" max="13" width="7.7109375" style="3" customWidth="1"/>
    <col min="14" max="14" width="13.7109375" style="19" customWidth="1"/>
    <col min="15" max="15" width="7.7109375" style="2" customWidth="1"/>
  </cols>
  <sheetData>
    <row r="1" spans="1:17" ht="18" hidden="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L1"/>
      <c r="M1"/>
      <c r="N1"/>
      <c r="O1"/>
    </row>
    <row r="2" spans="1:17" ht="18" hidden="1" customHeight="1">
      <c r="A2" s="301" t="s">
        <v>94</v>
      </c>
      <c r="B2" s="301"/>
      <c r="C2" s="301"/>
      <c r="D2" s="301"/>
      <c r="E2" s="301"/>
      <c r="F2" s="301"/>
      <c r="G2" s="301"/>
      <c r="H2" s="301"/>
      <c r="I2" s="301"/>
      <c r="J2" s="301"/>
      <c r="L2"/>
      <c r="M2"/>
      <c r="N2"/>
      <c r="O2"/>
    </row>
    <row r="3" spans="1:17" ht="18" hidden="1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L3"/>
      <c r="M3"/>
      <c r="N3"/>
      <c r="O3"/>
    </row>
    <row r="4" spans="1:17" ht="18" customHeight="1">
      <c r="C4" s="305" t="s">
        <v>96</v>
      </c>
      <c r="D4" s="305"/>
      <c r="E4" s="305"/>
      <c r="F4" s="305"/>
      <c r="G4" s="305" t="s">
        <v>97</v>
      </c>
      <c r="H4" s="305"/>
      <c r="I4" s="305"/>
      <c r="J4" s="305"/>
      <c r="L4" s="305" t="s">
        <v>101</v>
      </c>
      <c r="M4" s="305"/>
      <c r="N4" s="305"/>
      <c r="O4" s="305"/>
    </row>
    <row r="5" spans="1:17" s="17" customFormat="1" ht="43.5" customHeight="1">
      <c r="A5" s="162" t="s">
        <v>0</v>
      </c>
      <c r="B5" s="162" t="s">
        <v>1</v>
      </c>
      <c r="C5" s="162" t="s">
        <v>8</v>
      </c>
      <c r="D5" s="162"/>
      <c r="E5" s="20" t="s">
        <v>9</v>
      </c>
      <c r="F5" s="162"/>
      <c r="G5" s="162" t="s">
        <v>8</v>
      </c>
      <c r="H5" s="162"/>
      <c r="I5" s="20" t="s">
        <v>9</v>
      </c>
      <c r="J5" s="16"/>
      <c r="L5" s="162" t="s">
        <v>8</v>
      </c>
      <c r="M5" s="162"/>
      <c r="N5" s="20" t="s">
        <v>9</v>
      </c>
      <c r="O5" s="16"/>
    </row>
    <row r="6" spans="1:17" s="1" customFormat="1" ht="15.9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7" ht="15.95" customHeight="1">
      <c r="A7" s="4" t="s">
        <v>3</v>
      </c>
      <c r="B7" s="158"/>
      <c r="C7" s="161">
        <v>50</v>
      </c>
      <c r="D7" s="5"/>
      <c r="E7" s="161">
        <f>C7/1</f>
        <v>50</v>
      </c>
      <c r="F7" s="47"/>
      <c r="G7" s="163">
        <f>100/2</f>
        <v>50</v>
      </c>
      <c r="H7" s="5"/>
      <c r="I7" s="195">
        <f>G7/1</f>
        <v>50</v>
      </c>
      <c r="J7" s="5"/>
      <c r="L7" s="163">
        <f>C7+G7</f>
        <v>100</v>
      </c>
      <c r="M7" s="5"/>
      <c r="N7" s="156">
        <f>E7+I7</f>
        <v>100</v>
      </c>
      <c r="O7" s="5"/>
      <c r="Q7">
        <v>100</v>
      </c>
    </row>
    <row r="8" spans="1:17" ht="15.95" customHeight="1">
      <c r="A8" s="270"/>
      <c r="B8" s="271"/>
      <c r="C8" s="271"/>
      <c r="D8" s="271"/>
      <c r="E8" s="271"/>
      <c r="F8" s="271"/>
      <c r="G8" s="271"/>
      <c r="H8" s="271"/>
      <c r="I8" s="271"/>
      <c r="J8" s="272"/>
      <c r="L8"/>
      <c r="M8"/>
      <c r="N8"/>
      <c r="O8"/>
    </row>
    <row r="9" spans="1:17" ht="30.75" customHeight="1">
      <c r="A9" s="293" t="s">
        <v>2</v>
      </c>
      <c r="B9" s="158" t="s">
        <v>4</v>
      </c>
      <c r="C9" s="163">
        <f>207/2</f>
        <v>103.5</v>
      </c>
      <c r="D9" s="47"/>
      <c r="E9" s="306">
        <f>SUM(C9:C12)/4</f>
        <v>60.875</v>
      </c>
      <c r="F9" s="352"/>
      <c r="G9" s="163">
        <f>79/2</f>
        <v>39.5</v>
      </c>
      <c r="H9" s="7"/>
      <c r="I9" s="306">
        <f>SUM(G9:G12)/4</f>
        <v>40</v>
      </c>
      <c r="J9" s="292"/>
      <c r="L9" s="163">
        <f>C9+G9</f>
        <v>143</v>
      </c>
      <c r="M9" s="47"/>
      <c r="N9" s="291">
        <f>E9+I9</f>
        <v>100.875</v>
      </c>
      <c r="O9" s="373"/>
      <c r="Q9">
        <v>143</v>
      </c>
    </row>
    <row r="10" spans="1:17" ht="15.95" customHeight="1">
      <c r="A10" s="293"/>
      <c r="B10" s="158" t="s">
        <v>5</v>
      </c>
      <c r="C10" s="163">
        <f>70/2</f>
        <v>35</v>
      </c>
      <c r="D10" s="164"/>
      <c r="E10" s="306"/>
      <c r="F10" s="353"/>
      <c r="G10" s="163">
        <f>75/2</f>
        <v>37.5</v>
      </c>
      <c r="H10" s="7"/>
      <c r="I10" s="306"/>
      <c r="J10" s="292"/>
      <c r="L10" s="163">
        <f>C10+G10</f>
        <v>72.5</v>
      </c>
      <c r="M10" s="164"/>
      <c r="N10" s="291"/>
      <c r="O10" s="373"/>
      <c r="Q10">
        <v>72.5</v>
      </c>
    </row>
    <row r="11" spans="1:17" ht="15.95" customHeight="1">
      <c r="A11" s="293"/>
      <c r="B11" s="158" t="s">
        <v>6</v>
      </c>
      <c r="C11" s="163">
        <f>122/2</f>
        <v>61</v>
      </c>
      <c r="D11" s="47"/>
      <c r="E11" s="306"/>
      <c r="F11" s="353"/>
      <c r="G11" s="163">
        <f>78/2</f>
        <v>39</v>
      </c>
      <c r="H11" s="7"/>
      <c r="I11" s="306"/>
      <c r="J11" s="292"/>
      <c r="L11" s="163">
        <f>C11+G11</f>
        <v>100</v>
      </c>
      <c r="M11" s="47"/>
      <c r="N11" s="291"/>
      <c r="O11" s="373"/>
      <c r="Q11">
        <v>100</v>
      </c>
    </row>
    <row r="12" spans="1:17" ht="27.75" customHeight="1">
      <c r="A12" s="293"/>
      <c r="B12" s="158" t="s">
        <v>7</v>
      </c>
      <c r="C12" s="163">
        <f>88/2</f>
        <v>44</v>
      </c>
      <c r="D12" s="164"/>
      <c r="E12" s="306"/>
      <c r="F12" s="354"/>
      <c r="G12" s="163">
        <f>88/2</f>
        <v>44</v>
      </c>
      <c r="H12" s="7"/>
      <c r="I12" s="306"/>
      <c r="J12" s="292"/>
      <c r="L12" s="163">
        <f>C12+G12</f>
        <v>88</v>
      </c>
      <c r="M12" s="164"/>
      <c r="N12" s="291"/>
      <c r="O12" s="373"/>
      <c r="Q12">
        <v>88</v>
      </c>
    </row>
    <row r="13" spans="1:17" ht="15.95" customHeight="1">
      <c r="A13" s="288"/>
      <c r="B13" s="289"/>
      <c r="C13" s="289"/>
      <c r="D13" s="289"/>
      <c r="E13" s="289"/>
      <c r="F13" s="289"/>
      <c r="G13" s="289"/>
      <c r="H13" s="289"/>
      <c r="I13" s="289"/>
      <c r="J13" s="290"/>
      <c r="L13"/>
      <c r="M13"/>
      <c r="N13"/>
      <c r="O13"/>
    </row>
    <row r="14" spans="1:17" ht="15.95" customHeight="1">
      <c r="A14" s="293" t="s">
        <v>11</v>
      </c>
      <c r="B14" s="158" t="s">
        <v>12</v>
      </c>
      <c r="C14" s="163">
        <f>100/2</f>
        <v>50</v>
      </c>
      <c r="D14" s="47"/>
      <c r="E14" s="312">
        <f>SUM(C14:C15)/2</f>
        <v>40</v>
      </c>
      <c r="F14" s="344"/>
      <c r="G14" s="163">
        <f>100/2</f>
        <v>50</v>
      </c>
      <c r="H14" s="196"/>
      <c r="I14" s="312">
        <f>SUM(G14:G15)/2</f>
        <v>50</v>
      </c>
      <c r="J14" s="295"/>
      <c r="L14" s="163">
        <f>C14+G14</f>
        <v>100</v>
      </c>
      <c r="M14" s="47"/>
      <c r="N14" s="291">
        <f>E14+I14</f>
        <v>90</v>
      </c>
      <c r="O14" s="282"/>
      <c r="Q14">
        <v>100</v>
      </c>
    </row>
    <row r="15" spans="1:17" ht="15.95" customHeight="1">
      <c r="A15" s="293"/>
      <c r="B15" s="158" t="s">
        <v>13</v>
      </c>
      <c r="C15" s="163">
        <f>60/2</f>
        <v>30</v>
      </c>
      <c r="D15" s="164"/>
      <c r="E15" s="313"/>
      <c r="F15" s="344"/>
      <c r="G15" s="163">
        <f>100/2</f>
        <v>50</v>
      </c>
      <c r="H15" s="196"/>
      <c r="I15" s="313"/>
      <c r="J15" s="296"/>
      <c r="L15" s="163">
        <f>C15+G15</f>
        <v>80</v>
      </c>
      <c r="M15" s="164"/>
      <c r="N15" s="291"/>
      <c r="O15" s="284"/>
      <c r="Q15">
        <v>80</v>
      </c>
    </row>
    <row r="16" spans="1:17" ht="15.95" customHeight="1">
      <c r="A16" s="288"/>
      <c r="B16" s="289"/>
      <c r="C16" s="289"/>
      <c r="D16" s="289"/>
      <c r="E16" s="289"/>
      <c r="F16" s="289"/>
      <c r="G16" s="289"/>
      <c r="H16" s="289"/>
      <c r="I16" s="289"/>
      <c r="J16" s="290"/>
      <c r="L16"/>
      <c r="M16"/>
      <c r="N16"/>
      <c r="O16"/>
    </row>
    <row r="17" spans="1:17" ht="27" customHeight="1">
      <c r="A17" s="293" t="s">
        <v>14</v>
      </c>
      <c r="B17" s="158" t="s">
        <v>15</v>
      </c>
      <c r="C17" s="163">
        <f>93/2</f>
        <v>46.5</v>
      </c>
      <c r="D17" s="164"/>
      <c r="E17" s="314">
        <f>SUM(C17:C20)/4</f>
        <v>42.75</v>
      </c>
      <c r="F17" s="303"/>
      <c r="G17" s="163">
        <f>171/2</f>
        <v>85.5</v>
      </c>
      <c r="H17" s="196"/>
      <c r="I17" s="314">
        <f>SUM(G17:G20)/4</f>
        <v>56.375</v>
      </c>
      <c r="J17" s="295"/>
      <c r="L17" s="163">
        <f>C17+G17</f>
        <v>132</v>
      </c>
      <c r="M17" s="47"/>
      <c r="N17" s="291">
        <f>E17+I17</f>
        <v>99.125</v>
      </c>
      <c r="O17" s="295"/>
      <c r="Q17">
        <v>132</v>
      </c>
    </row>
    <row r="18" spans="1:17" ht="27" customHeight="1">
      <c r="A18" s="293"/>
      <c r="B18" s="158" t="s">
        <v>93</v>
      </c>
      <c r="C18" s="163">
        <f>90/2</f>
        <v>45</v>
      </c>
      <c r="D18" s="164"/>
      <c r="E18" s="315"/>
      <c r="F18" s="303"/>
      <c r="G18" s="163">
        <f>80/2</f>
        <v>40</v>
      </c>
      <c r="H18" s="194"/>
      <c r="I18" s="315"/>
      <c r="J18" s="372"/>
      <c r="L18" s="163">
        <f>C18+G18</f>
        <v>85</v>
      </c>
      <c r="M18" s="164"/>
      <c r="N18" s="291"/>
      <c r="O18" s="372"/>
      <c r="Q18">
        <v>85</v>
      </c>
    </row>
    <row r="19" spans="1:17" ht="15.95" customHeight="1">
      <c r="A19" s="293"/>
      <c r="B19" s="158" t="s">
        <v>17</v>
      </c>
      <c r="C19" s="163">
        <f>89/2</f>
        <v>44.5</v>
      </c>
      <c r="D19" s="164"/>
      <c r="E19" s="315"/>
      <c r="F19" s="303"/>
      <c r="G19" s="163">
        <f>100/2</f>
        <v>50</v>
      </c>
      <c r="H19" s="196"/>
      <c r="I19" s="315"/>
      <c r="J19" s="372"/>
      <c r="L19" s="163">
        <f>C19+G19</f>
        <v>94.5</v>
      </c>
      <c r="M19" s="164"/>
      <c r="N19" s="291"/>
      <c r="O19" s="372"/>
      <c r="Q19">
        <v>94.5</v>
      </c>
    </row>
    <row r="20" spans="1:17" ht="15.95" customHeight="1">
      <c r="A20" s="293"/>
      <c r="B20" s="158" t="s">
        <v>18</v>
      </c>
      <c r="C20" s="163">
        <f>70/2</f>
        <v>35</v>
      </c>
      <c r="D20" s="164"/>
      <c r="E20" s="316"/>
      <c r="F20" s="304"/>
      <c r="G20" s="163">
        <f>100/2</f>
        <v>50</v>
      </c>
      <c r="H20" s="196"/>
      <c r="I20" s="316"/>
      <c r="J20" s="296"/>
      <c r="L20" s="163">
        <f>C20+G20</f>
        <v>85</v>
      </c>
      <c r="M20" s="164"/>
      <c r="N20" s="291"/>
      <c r="O20" s="296"/>
      <c r="Q20">
        <v>85</v>
      </c>
    </row>
    <row r="21" spans="1:17" ht="15.95" customHeight="1">
      <c r="A21" s="270"/>
      <c r="B21" s="271"/>
      <c r="C21" s="271"/>
      <c r="D21" s="271"/>
      <c r="E21" s="271"/>
      <c r="F21" s="271"/>
      <c r="G21" s="271"/>
      <c r="H21" s="271"/>
      <c r="I21" s="271"/>
      <c r="J21" s="272"/>
      <c r="L21"/>
      <c r="M21"/>
      <c r="N21"/>
      <c r="O21"/>
    </row>
    <row r="22" spans="1:17" ht="15.95" customHeight="1">
      <c r="A22" s="285" t="s">
        <v>19</v>
      </c>
      <c r="B22" s="158" t="s">
        <v>20</v>
      </c>
      <c r="C22" s="163">
        <f>99/2</f>
        <v>49.5</v>
      </c>
      <c r="D22" s="157"/>
      <c r="E22" s="380">
        <f>SUM(C22:C33)/12</f>
        <v>39.5</v>
      </c>
      <c r="F22" s="308"/>
      <c r="G22" s="163">
        <f>71/2</f>
        <v>35.5</v>
      </c>
      <c r="H22" s="194"/>
      <c r="I22" s="380">
        <f>SUM(G22:G33)/12</f>
        <v>39.666666666666664</v>
      </c>
      <c r="J22" s="282"/>
      <c r="L22" s="163">
        <f t="shared" ref="L22:L33" si="0">C22+G22</f>
        <v>85</v>
      </c>
      <c r="M22" s="157"/>
      <c r="N22" s="279">
        <f>E22+I22</f>
        <v>79.166666666666657</v>
      </c>
      <c r="O22" s="282"/>
      <c r="Q22">
        <v>85</v>
      </c>
    </row>
    <row r="23" spans="1:17" ht="15.95" customHeight="1">
      <c r="A23" s="286"/>
      <c r="B23" s="158" t="s">
        <v>21</v>
      </c>
      <c r="C23" s="163">
        <f>87/2</f>
        <v>43.5</v>
      </c>
      <c r="D23" s="173"/>
      <c r="E23" s="380"/>
      <c r="F23" s="309"/>
      <c r="G23" s="163">
        <f>64/2</f>
        <v>32</v>
      </c>
      <c r="H23" s="194"/>
      <c r="I23" s="380"/>
      <c r="J23" s="283"/>
      <c r="L23" s="163">
        <f t="shared" si="0"/>
        <v>75.5</v>
      </c>
      <c r="M23" s="173"/>
      <c r="N23" s="280"/>
      <c r="O23" s="283"/>
      <c r="Q23">
        <v>75.5</v>
      </c>
    </row>
    <row r="24" spans="1:17" ht="15.95" customHeight="1">
      <c r="A24" s="286"/>
      <c r="B24" s="158" t="s">
        <v>22</v>
      </c>
      <c r="C24" s="163">
        <f>100/2</f>
        <v>50</v>
      </c>
      <c r="D24" s="165"/>
      <c r="E24" s="380"/>
      <c r="F24" s="309"/>
      <c r="G24" s="163">
        <f>100/2</f>
        <v>50</v>
      </c>
      <c r="H24" s="196"/>
      <c r="I24" s="380"/>
      <c r="J24" s="283"/>
      <c r="L24" s="163">
        <f t="shared" si="0"/>
        <v>100</v>
      </c>
      <c r="M24" s="165"/>
      <c r="N24" s="280"/>
      <c r="O24" s="283"/>
      <c r="Q24">
        <v>100</v>
      </c>
    </row>
    <row r="25" spans="1:17" ht="15.95" customHeight="1">
      <c r="A25" s="286"/>
      <c r="B25" s="158" t="s">
        <v>23</v>
      </c>
      <c r="C25" s="163">
        <f>100/2</f>
        <v>50</v>
      </c>
      <c r="D25" s="165"/>
      <c r="E25" s="380"/>
      <c r="F25" s="309"/>
      <c r="G25" s="163">
        <f>100/2</f>
        <v>50</v>
      </c>
      <c r="H25" s="196"/>
      <c r="I25" s="380"/>
      <c r="J25" s="283"/>
      <c r="L25" s="163">
        <f t="shared" si="0"/>
        <v>100</v>
      </c>
      <c r="M25" s="165"/>
      <c r="N25" s="280"/>
      <c r="O25" s="283"/>
      <c r="Q25">
        <v>100</v>
      </c>
    </row>
    <row r="26" spans="1:17" ht="15.95" customHeight="1">
      <c r="A26" s="286"/>
      <c r="B26" s="158" t="s">
        <v>24</v>
      </c>
      <c r="C26" s="163">
        <f>89/2</f>
        <v>44.5</v>
      </c>
      <c r="D26" s="157"/>
      <c r="E26" s="380"/>
      <c r="F26" s="309"/>
      <c r="G26" s="163">
        <f>83/2</f>
        <v>41.5</v>
      </c>
      <c r="H26" s="194"/>
      <c r="I26" s="380"/>
      <c r="J26" s="283"/>
      <c r="L26" s="163">
        <f t="shared" si="0"/>
        <v>86</v>
      </c>
      <c r="M26" s="157"/>
      <c r="N26" s="280"/>
      <c r="O26" s="283"/>
      <c r="Q26">
        <v>86</v>
      </c>
    </row>
    <row r="27" spans="1:17" ht="15.95" customHeight="1">
      <c r="A27" s="286"/>
      <c r="B27" s="158" t="s">
        <v>25</v>
      </c>
      <c r="C27" s="163">
        <f>100/2</f>
        <v>50</v>
      </c>
      <c r="D27" s="165"/>
      <c r="E27" s="380"/>
      <c r="F27" s="309"/>
      <c r="G27" s="163">
        <f>76/2</f>
        <v>38</v>
      </c>
      <c r="H27" s="201"/>
      <c r="I27" s="380"/>
      <c r="J27" s="283"/>
      <c r="L27" s="163">
        <f t="shared" si="0"/>
        <v>88</v>
      </c>
      <c r="M27" s="194"/>
      <c r="N27" s="280"/>
      <c r="O27" s="283"/>
      <c r="Q27">
        <v>88</v>
      </c>
    </row>
    <row r="28" spans="1:17" ht="15.95" customHeight="1">
      <c r="A28" s="286"/>
      <c r="B28" s="158" t="s">
        <v>26</v>
      </c>
      <c r="C28" s="163">
        <f>76/2</f>
        <v>38</v>
      </c>
      <c r="D28" s="157"/>
      <c r="E28" s="380"/>
      <c r="F28" s="309"/>
      <c r="G28" s="163">
        <f>81/2</f>
        <v>40.5</v>
      </c>
      <c r="H28" s="203"/>
      <c r="I28" s="380"/>
      <c r="J28" s="283"/>
      <c r="L28" s="163">
        <f t="shared" si="0"/>
        <v>78.5</v>
      </c>
      <c r="M28" s="157"/>
      <c r="N28" s="280"/>
      <c r="O28" s="283"/>
      <c r="Q28">
        <v>78.5</v>
      </c>
    </row>
    <row r="29" spans="1:17" ht="30.75" customHeight="1">
      <c r="A29" s="286"/>
      <c r="B29" s="158" t="s">
        <v>27</v>
      </c>
      <c r="C29" s="163">
        <f>83/2</f>
        <v>41.5</v>
      </c>
      <c r="D29" s="157"/>
      <c r="E29" s="380"/>
      <c r="F29" s="309"/>
      <c r="G29" s="163">
        <f>91/2</f>
        <v>45.5</v>
      </c>
      <c r="H29" s="194"/>
      <c r="I29" s="380"/>
      <c r="J29" s="283"/>
      <c r="L29" s="163">
        <f t="shared" si="0"/>
        <v>87</v>
      </c>
      <c r="M29" s="157"/>
      <c r="N29" s="280"/>
      <c r="O29" s="283"/>
      <c r="Q29">
        <v>87</v>
      </c>
    </row>
    <row r="30" spans="1:17" ht="15.95" customHeight="1">
      <c r="A30" s="286"/>
      <c r="B30" s="158" t="s">
        <v>28</v>
      </c>
      <c r="C30" s="163">
        <f>11/2</f>
        <v>5.5</v>
      </c>
      <c r="D30" s="14"/>
      <c r="E30" s="380"/>
      <c r="F30" s="309"/>
      <c r="G30" s="163">
        <f>15/2</f>
        <v>7.5</v>
      </c>
      <c r="H30" s="14"/>
      <c r="I30" s="380"/>
      <c r="J30" s="283"/>
      <c r="L30" s="163">
        <f t="shared" si="0"/>
        <v>13</v>
      </c>
      <c r="M30" s="14"/>
      <c r="N30" s="280"/>
      <c r="O30" s="283"/>
      <c r="Q30">
        <v>13</v>
      </c>
    </row>
    <row r="31" spans="1:17" ht="15.95" customHeight="1">
      <c r="A31" s="286"/>
      <c r="B31" s="158" t="s">
        <v>29</v>
      </c>
      <c r="C31" s="163">
        <f>71/2</f>
        <v>35.5</v>
      </c>
      <c r="D31" s="157"/>
      <c r="E31" s="380"/>
      <c r="F31" s="309"/>
      <c r="G31" s="163">
        <f>87/2</f>
        <v>43.5</v>
      </c>
      <c r="H31" s="194"/>
      <c r="I31" s="380"/>
      <c r="J31" s="283"/>
      <c r="L31" s="163">
        <f t="shared" si="0"/>
        <v>79</v>
      </c>
      <c r="M31" s="157"/>
      <c r="N31" s="280"/>
      <c r="O31" s="283"/>
      <c r="Q31">
        <v>79</v>
      </c>
    </row>
    <row r="32" spans="1:17" ht="15.95" customHeight="1">
      <c r="A32" s="286"/>
      <c r="B32" s="158" t="s">
        <v>30</v>
      </c>
      <c r="C32" s="163">
        <f>72/2</f>
        <v>36</v>
      </c>
      <c r="D32" s="194"/>
      <c r="E32" s="380"/>
      <c r="F32" s="309"/>
      <c r="G32" s="163">
        <f>104/2</f>
        <v>52</v>
      </c>
      <c r="H32" s="200"/>
      <c r="I32" s="380"/>
      <c r="J32" s="283"/>
      <c r="L32" s="163">
        <f t="shared" si="0"/>
        <v>88</v>
      </c>
      <c r="M32" s="194"/>
      <c r="N32" s="280"/>
      <c r="O32" s="283"/>
      <c r="Q32">
        <v>88</v>
      </c>
    </row>
    <row r="33" spans="1:17" ht="15.95" customHeight="1">
      <c r="A33" s="287"/>
      <c r="B33" s="158" t="s">
        <v>31</v>
      </c>
      <c r="C33" s="163">
        <f>60/2</f>
        <v>30</v>
      </c>
      <c r="D33" s="157"/>
      <c r="E33" s="380"/>
      <c r="F33" s="310"/>
      <c r="G33" s="163">
        <f>80/2</f>
        <v>40</v>
      </c>
      <c r="H33" s="194"/>
      <c r="I33" s="380"/>
      <c r="J33" s="284"/>
      <c r="L33" s="163">
        <f t="shared" si="0"/>
        <v>70</v>
      </c>
      <c r="M33" s="157"/>
      <c r="N33" s="281"/>
      <c r="O33" s="284"/>
      <c r="Q33">
        <v>70</v>
      </c>
    </row>
    <row r="34" spans="1:17" ht="15.95" customHeight="1">
      <c r="A34" s="270"/>
      <c r="B34" s="271"/>
      <c r="C34" s="271"/>
      <c r="D34" s="271"/>
      <c r="E34" s="271"/>
      <c r="F34" s="271"/>
      <c r="G34" s="271"/>
      <c r="H34" s="271"/>
      <c r="I34" s="271"/>
      <c r="J34" s="272"/>
      <c r="L34"/>
      <c r="M34"/>
      <c r="N34"/>
      <c r="O34"/>
    </row>
    <row r="35" spans="1:17" ht="27.75" customHeight="1">
      <c r="A35" s="285" t="s">
        <v>32</v>
      </c>
      <c r="B35" s="158" t="s">
        <v>33</v>
      </c>
      <c r="C35" s="163">
        <f>11/2</f>
        <v>5.5</v>
      </c>
      <c r="D35" s="14"/>
      <c r="E35" s="306">
        <f>SUM(C35:C40)/6</f>
        <v>14.833333333333334</v>
      </c>
      <c r="F35" s="328"/>
      <c r="G35" s="163">
        <f>101/2</f>
        <v>50.5</v>
      </c>
      <c r="H35" s="196"/>
      <c r="I35" s="306">
        <f>SUM(G35:G40)/6</f>
        <v>29.083333333333332</v>
      </c>
      <c r="J35" s="282"/>
      <c r="L35" s="163">
        <f t="shared" ref="L35:L40" si="1">C35+G35</f>
        <v>56</v>
      </c>
      <c r="M35" s="14"/>
      <c r="N35" s="279">
        <f>E35+I35</f>
        <v>43.916666666666664</v>
      </c>
      <c r="O35" s="374"/>
      <c r="Q35">
        <v>56</v>
      </c>
    </row>
    <row r="36" spans="1:17" ht="15.95" customHeight="1">
      <c r="A36" s="286"/>
      <c r="B36" s="158" t="s">
        <v>34</v>
      </c>
      <c r="C36" s="163">
        <f>53/2</f>
        <v>26.5</v>
      </c>
      <c r="D36" s="14"/>
      <c r="E36" s="306"/>
      <c r="F36" s="329"/>
      <c r="G36" s="163">
        <f>51/2</f>
        <v>25.5</v>
      </c>
      <c r="H36" s="14"/>
      <c r="I36" s="306"/>
      <c r="J36" s="283"/>
      <c r="L36" s="163">
        <f t="shared" si="1"/>
        <v>52</v>
      </c>
      <c r="M36" s="14"/>
      <c r="N36" s="280"/>
      <c r="O36" s="375"/>
      <c r="Q36">
        <v>52</v>
      </c>
    </row>
    <row r="37" spans="1:17" ht="15.95" customHeight="1">
      <c r="A37" s="286"/>
      <c r="B37" s="158" t="s">
        <v>35</v>
      </c>
      <c r="C37" s="163">
        <f>80/2</f>
        <v>40</v>
      </c>
      <c r="D37" s="157"/>
      <c r="E37" s="306"/>
      <c r="F37" s="329"/>
      <c r="G37" s="163">
        <f>102/2</f>
        <v>51</v>
      </c>
      <c r="H37" s="196"/>
      <c r="I37" s="306"/>
      <c r="J37" s="283"/>
      <c r="L37" s="163">
        <f t="shared" si="1"/>
        <v>91</v>
      </c>
      <c r="M37" s="157"/>
      <c r="N37" s="280"/>
      <c r="O37" s="375"/>
      <c r="Q37">
        <v>91</v>
      </c>
    </row>
    <row r="38" spans="1:17" ht="27.75" customHeight="1">
      <c r="A38" s="286"/>
      <c r="B38" s="158" t="s">
        <v>36</v>
      </c>
      <c r="C38" s="163">
        <v>0</v>
      </c>
      <c r="D38" s="14"/>
      <c r="E38" s="306"/>
      <c r="F38" s="329"/>
      <c r="G38" s="163">
        <f>25/2</f>
        <v>12.5</v>
      </c>
      <c r="H38" s="14"/>
      <c r="I38" s="306"/>
      <c r="J38" s="283"/>
      <c r="L38" s="163">
        <f t="shared" si="1"/>
        <v>12.5</v>
      </c>
      <c r="M38" s="14"/>
      <c r="N38" s="280"/>
      <c r="O38" s="375"/>
      <c r="Q38">
        <v>12.5</v>
      </c>
    </row>
    <row r="39" spans="1:17" ht="27" customHeight="1">
      <c r="A39" s="286"/>
      <c r="B39" s="158" t="s">
        <v>37</v>
      </c>
      <c r="C39" s="163">
        <v>0</v>
      </c>
      <c r="D39" s="14"/>
      <c r="E39" s="306"/>
      <c r="F39" s="329"/>
      <c r="G39" s="163">
        <v>0</v>
      </c>
      <c r="H39" s="14"/>
      <c r="I39" s="306"/>
      <c r="J39" s="283"/>
      <c r="L39" s="163">
        <f t="shared" si="1"/>
        <v>0</v>
      </c>
      <c r="M39" s="14"/>
      <c r="N39" s="280"/>
      <c r="O39" s="375"/>
      <c r="Q39">
        <v>0</v>
      </c>
    </row>
    <row r="40" spans="1:17" ht="15.95" customHeight="1">
      <c r="A40" s="286"/>
      <c r="B40" s="158" t="s">
        <v>38</v>
      </c>
      <c r="C40" s="163">
        <f>34/2</f>
        <v>17</v>
      </c>
      <c r="D40" s="14"/>
      <c r="E40" s="306"/>
      <c r="F40" s="330"/>
      <c r="G40" s="163">
        <f>70/2</f>
        <v>35</v>
      </c>
      <c r="H40" s="14"/>
      <c r="I40" s="306"/>
      <c r="J40" s="284"/>
      <c r="L40" s="163">
        <f t="shared" si="1"/>
        <v>52</v>
      </c>
      <c r="M40" s="14"/>
      <c r="N40" s="281"/>
      <c r="O40" s="376"/>
      <c r="Q40">
        <v>52</v>
      </c>
    </row>
    <row r="41" spans="1:17" ht="15.95" customHeight="1">
      <c r="A41" s="270"/>
      <c r="B41" s="271"/>
      <c r="C41" s="271"/>
      <c r="D41" s="271"/>
      <c r="E41" s="271"/>
      <c r="F41" s="271"/>
      <c r="G41" s="271"/>
      <c r="H41" s="271"/>
      <c r="I41" s="271"/>
      <c r="J41" s="272"/>
      <c r="L41"/>
      <c r="M41"/>
      <c r="N41"/>
      <c r="O41"/>
    </row>
    <row r="42" spans="1:17" ht="27.75" customHeight="1">
      <c r="A42" s="276" t="s">
        <v>39</v>
      </c>
      <c r="B42" s="158" t="s">
        <v>40</v>
      </c>
      <c r="C42" s="163">
        <f>113/2</f>
        <v>56.5</v>
      </c>
      <c r="D42" s="165"/>
      <c r="E42" s="291">
        <f>SUM(C42:C51)/8</f>
        <v>50.8125</v>
      </c>
      <c r="F42" s="368"/>
      <c r="G42" s="163">
        <f>70/2</f>
        <v>35</v>
      </c>
      <c r="H42" s="194"/>
      <c r="I42" s="291">
        <f>SUM(G42:G51)/8</f>
        <v>39.5625</v>
      </c>
      <c r="J42" s="377"/>
      <c r="L42" s="163">
        <f t="shared" ref="L42:L51" si="2">C42+G42</f>
        <v>91.5</v>
      </c>
      <c r="M42" s="194"/>
      <c r="N42" s="279">
        <f>E42+I42</f>
        <v>90.375</v>
      </c>
      <c r="O42" s="282"/>
      <c r="Q42">
        <v>91.5</v>
      </c>
    </row>
    <row r="43" spans="1:17" ht="15.95" customHeight="1">
      <c r="A43" s="277"/>
      <c r="B43" s="158" t="s">
        <v>41</v>
      </c>
      <c r="C43" s="163">
        <f>100/2</f>
        <v>50</v>
      </c>
      <c r="D43" s="165"/>
      <c r="E43" s="291"/>
      <c r="F43" s="369"/>
      <c r="G43" s="163">
        <f>100/2</f>
        <v>50</v>
      </c>
      <c r="H43" s="196"/>
      <c r="I43" s="291"/>
      <c r="J43" s="378"/>
      <c r="L43" s="163">
        <f t="shared" si="2"/>
        <v>100</v>
      </c>
      <c r="M43" s="165"/>
      <c r="N43" s="280"/>
      <c r="O43" s="283"/>
      <c r="Q43">
        <v>100</v>
      </c>
    </row>
    <row r="44" spans="1:17" ht="26.25" customHeight="1">
      <c r="A44" s="277"/>
      <c r="B44" s="158" t="s">
        <v>42</v>
      </c>
      <c r="C44" s="163">
        <f>150/2</f>
        <v>75</v>
      </c>
      <c r="D44" s="165"/>
      <c r="E44" s="291"/>
      <c r="F44" s="369"/>
      <c r="G44" s="163">
        <f>50/2</f>
        <v>25</v>
      </c>
      <c r="H44" s="14"/>
      <c r="I44" s="291"/>
      <c r="J44" s="378"/>
      <c r="L44" s="163">
        <f t="shared" si="2"/>
        <v>100</v>
      </c>
      <c r="M44" s="165"/>
      <c r="N44" s="280"/>
      <c r="O44" s="283"/>
      <c r="Q44">
        <v>100</v>
      </c>
    </row>
    <row r="45" spans="1:17" ht="15.95" customHeight="1">
      <c r="A45" s="277"/>
      <c r="B45" s="158" t="s">
        <v>43</v>
      </c>
      <c r="C45" s="163">
        <f>100/2</f>
        <v>50</v>
      </c>
      <c r="D45" s="165"/>
      <c r="E45" s="291"/>
      <c r="F45" s="369"/>
      <c r="G45" s="163">
        <f>50/2</f>
        <v>25</v>
      </c>
      <c r="H45" s="14"/>
      <c r="I45" s="291"/>
      <c r="J45" s="378"/>
      <c r="L45" s="163">
        <f t="shared" si="2"/>
        <v>75</v>
      </c>
      <c r="M45" s="194"/>
      <c r="N45" s="280"/>
      <c r="O45" s="283"/>
      <c r="Q45">
        <v>75</v>
      </c>
    </row>
    <row r="46" spans="1:17" ht="27" customHeight="1">
      <c r="A46" s="277"/>
      <c r="B46" s="158" t="s">
        <v>44</v>
      </c>
      <c r="C46" s="163">
        <f>100/2</f>
        <v>50</v>
      </c>
      <c r="D46" s="165"/>
      <c r="E46" s="291"/>
      <c r="F46" s="369"/>
      <c r="G46" s="163">
        <f>100/2</f>
        <v>50</v>
      </c>
      <c r="H46" s="196"/>
      <c r="I46" s="291"/>
      <c r="J46" s="378"/>
      <c r="L46" s="163">
        <f t="shared" si="2"/>
        <v>100</v>
      </c>
      <c r="M46" s="165"/>
      <c r="N46" s="280"/>
      <c r="O46" s="283"/>
      <c r="Q46">
        <v>100</v>
      </c>
    </row>
    <row r="47" spans="1:17" ht="29.25" customHeight="1">
      <c r="A47" s="277"/>
      <c r="B47" s="158" t="s">
        <v>45</v>
      </c>
      <c r="C47" s="163">
        <f>70/2</f>
        <v>35</v>
      </c>
      <c r="D47" s="157"/>
      <c r="E47" s="291"/>
      <c r="F47" s="369"/>
      <c r="G47" s="163">
        <f>38/2</f>
        <v>19</v>
      </c>
      <c r="H47" s="14"/>
      <c r="I47" s="291"/>
      <c r="J47" s="378"/>
      <c r="L47" s="163">
        <f t="shared" si="2"/>
        <v>54</v>
      </c>
      <c r="M47" s="14"/>
      <c r="N47" s="280"/>
      <c r="O47" s="283"/>
      <c r="Q47">
        <v>54</v>
      </c>
    </row>
    <row r="48" spans="1:17" ht="30" customHeight="1">
      <c r="A48" s="277"/>
      <c r="B48" s="158" t="s">
        <v>46</v>
      </c>
      <c r="C48" s="163">
        <v>0</v>
      </c>
      <c r="D48" s="14"/>
      <c r="E48" s="291"/>
      <c r="F48" s="369"/>
      <c r="G48" s="163">
        <v>0</v>
      </c>
      <c r="H48" s="14"/>
      <c r="I48" s="291"/>
      <c r="J48" s="378"/>
      <c r="L48" s="163">
        <f t="shared" si="2"/>
        <v>0</v>
      </c>
      <c r="M48" s="14"/>
      <c r="N48" s="280"/>
      <c r="O48" s="283"/>
      <c r="Q48">
        <v>0</v>
      </c>
    </row>
    <row r="49" spans="1:17" ht="15.95" customHeight="1">
      <c r="A49" s="277"/>
      <c r="B49" s="158" t="s">
        <v>47</v>
      </c>
      <c r="C49" s="163">
        <v>0</v>
      </c>
      <c r="D49" s="14"/>
      <c r="E49" s="291"/>
      <c r="F49" s="369"/>
      <c r="G49" s="163">
        <f>50/2</f>
        <v>25</v>
      </c>
      <c r="H49" s="14"/>
      <c r="I49" s="291"/>
      <c r="J49" s="378"/>
      <c r="L49" s="163">
        <f t="shared" si="2"/>
        <v>25</v>
      </c>
      <c r="M49" s="14"/>
      <c r="N49" s="280"/>
      <c r="O49" s="283"/>
      <c r="Q49">
        <v>25</v>
      </c>
    </row>
    <row r="50" spans="1:17" ht="25.5" customHeight="1">
      <c r="A50" s="277"/>
      <c r="B50" s="158" t="s">
        <v>48</v>
      </c>
      <c r="C50" s="163">
        <f>80/2</f>
        <v>40</v>
      </c>
      <c r="D50" s="157"/>
      <c r="E50" s="291"/>
      <c r="F50" s="369"/>
      <c r="G50" s="163">
        <f>75/2</f>
        <v>37.5</v>
      </c>
      <c r="H50" s="194"/>
      <c r="I50" s="291"/>
      <c r="J50" s="378"/>
      <c r="L50" s="163">
        <f t="shared" si="2"/>
        <v>77.5</v>
      </c>
      <c r="M50" s="157"/>
      <c r="N50" s="280"/>
      <c r="O50" s="283"/>
      <c r="Q50">
        <v>77.5</v>
      </c>
    </row>
    <row r="51" spans="1:17" ht="15.95" customHeight="1">
      <c r="A51" s="278"/>
      <c r="B51" s="158" t="s">
        <v>49</v>
      </c>
      <c r="C51" s="163">
        <f>100/2</f>
        <v>50</v>
      </c>
      <c r="D51" s="165"/>
      <c r="E51" s="291"/>
      <c r="F51" s="370"/>
      <c r="G51" s="163">
        <f>100/2</f>
        <v>50</v>
      </c>
      <c r="H51" s="202"/>
      <c r="I51" s="291"/>
      <c r="J51" s="379"/>
      <c r="L51" s="163">
        <f t="shared" si="2"/>
        <v>100</v>
      </c>
      <c r="M51" s="165"/>
      <c r="N51" s="281"/>
      <c r="O51" s="284"/>
      <c r="Q51">
        <v>100</v>
      </c>
    </row>
    <row r="52" spans="1:17" ht="15.95" customHeight="1">
      <c r="A52" s="270"/>
      <c r="B52" s="271"/>
      <c r="C52" s="271"/>
      <c r="D52" s="271"/>
      <c r="E52" s="271"/>
      <c r="F52" s="271"/>
      <c r="G52" s="271"/>
      <c r="H52" s="271"/>
      <c r="I52" s="307"/>
      <c r="J52" s="307"/>
      <c r="K52" s="84"/>
      <c r="L52"/>
      <c r="M52"/>
      <c r="N52"/>
      <c r="O52"/>
    </row>
    <row r="53" spans="1:17" ht="15.95" customHeight="1">
      <c r="A53" s="273" t="s">
        <v>123</v>
      </c>
      <c r="B53" s="274"/>
      <c r="C53" s="274"/>
      <c r="D53" s="274"/>
      <c r="E53" s="274"/>
      <c r="F53" s="274"/>
      <c r="G53" s="274"/>
      <c r="H53" s="275"/>
      <c r="I53" s="311"/>
      <c r="J53" s="311"/>
      <c r="K53" s="311"/>
      <c r="L53" s="311"/>
      <c r="M53" s="311"/>
      <c r="N53" s="160">
        <f>SUM(N7+N9+N14+N17+N22+N35+N42)/7</f>
        <v>86.208333333333329</v>
      </c>
      <c r="O53" s="7"/>
    </row>
    <row r="55" spans="1:17">
      <c r="A55" s="2" t="s">
        <v>102</v>
      </c>
      <c r="B55" s="166">
        <f>(E7+E9+E14+E17+E22+E35+E42)/7</f>
        <v>42.681547619047628</v>
      </c>
    </row>
  </sheetData>
  <mergeCells count="57">
    <mergeCell ref="L4:O4"/>
    <mergeCell ref="J9:J12"/>
    <mergeCell ref="A1:J1"/>
    <mergeCell ref="A2:J2"/>
    <mergeCell ref="C4:F4"/>
    <mergeCell ref="G4:J4"/>
    <mergeCell ref="N9:N12"/>
    <mergeCell ref="O9:O12"/>
    <mergeCell ref="A6:J6"/>
    <mergeCell ref="N14:N15"/>
    <mergeCell ref="O14:O15"/>
    <mergeCell ref="A8:J8"/>
    <mergeCell ref="A9:A12"/>
    <mergeCell ref="E9:E12"/>
    <mergeCell ref="F9:F12"/>
    <mergeCell ref="I9:I12"/>
    <mergeCell ref="A13:J13"/>
    <mergeCell ref="A14:A15"/>
    <mergeCell ref="E14:E15"/>
    <mergeCell ref="F14:F15"/>
    <mergeCell ref="I14:I15"/>
    <mergeCell ref="J14:J15"/>
    <mergeCell ref="A16:J16"/>
    <mergeCell ref="A17:A20"/>
    <mergeCell ref="E17:E20"/>
    <mergeCell ref="F17:F20"/>
    <mergeCell ref="I17:I20"/>
    <mergeCell ref="J17:J20"/>
    <mergeCell ref="N17:N20"/>
    <mergeCell ref="O17:O20"/>
    <mergeCell ref="A21:J21"/>
    <mergeCell ref="A22:A33"/>
    <mergeCell ref="E22:E33"/>
    <mergeCell ref="F22:F33"/>
    <mergeCell ref="I22:I33"/>
    <mergeCell ref="J22:J33"/>
    <mergeCell ref="N22:N33"/>
    <mergeCell ref="O22:O33"/>
    <mergeCell ref="A34:J34"/>
    <mergeCell ref="A35:A40"/>
    <mergeCell ref="E35:E40"/>
    <mergeCell ref="F35:F40"/>
    <mergeCell ref="I35:I40"/>
    <mergeCell ref="J35:J40"/>
    <mergeCell ref="A52:J52"/>
    <mergeCell ref="A53:H53"/>
    <mergeCell ref="I53:M53"/>
    <mergeCell ref="N35:N40"/>
    <mergeCell ref="O35:O40"/>
    <mergeCell ref="A41:J41"/>
    <mergeCell ref="A42:A51"/>
    <mergeCell ref="E42:E51"/>
    <mergeCell ref="F42:F51"/>
    <mergeCell ref="I42:I51"/>
    <mergeCell ref="J42:J51"/>
    <mergeCell ref="N42:N51"/>
    <mergeCell ref="O42:O51"/>
  </mergeCells>
  <pageMargins left="0.70866141732283472" right="0.70866141732283472" top="0.74803149606299213" bottom="0.74803149606299213" header="0.31496062992125984" footer="0.31496062992125984"/>
  <pageSetup scale="95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67"/>
  <sheetViews>
    <sheetView topLeftCell="A16" zoomScale="60" zoomScaleNormal="60" workbookViewId="0">
      <selection activeCell="B53" sqref="B53"/>
    </sheetView>
  </sheetViews>
  <sheetFormatPr baseColWidth="10" defaultRowHeight="15"/>
  <cols>
    <col min="1" max="1" width="3.140625" customWidth="1"/>
    <col min="2" max="2" width="23.7109375" style="2" customWidth="1"/>
    <col min="3" max="3" width="26.7109375" style="8" customWidth="1"/>
    <col min="4" max="4" width="19.28515625" style="10" customWidth="1"/>
    <col min="5" max="5" width="7.7109375" style="3" customWidth="1"/>
    <col min="6" max="6" width="15" style="19" customWidth="1"/>
    <col min="7" max="7" width="7.7109375" style="2" customWidth="1"/>
  </cols>
  <sheetData>
    <row r="1" spans="2:7" ht="18" customHeight="1">
      <c r="B1" s="294" t="s">
        <v>126</v>
      </c>
      <c r="C1" s="294"/>
      <c r="D1" s="294"/>
      <c r="E1" s="294"/>
      <c r="F1" s="294"/>
      <c r="G1" s="294"/>
    </row>
    <row r="2" spans="2:7" ht="18" customHeight="1">
      <c r="B2" s="294" t="s">
        <v>94</v>
      </c>
      <c r="C2" s="294"/>
      <c r="D2" s="294"/>
      <c r="E2" s="294"/>
      <c r="F2" s="294"/>
      <c r="G2" s="294"/>
    </row>
    <row r="3" spans="2:7" ht="11.25" customHeight="1">
      <c r="B3" s="300"/>
      <c r="C3" s="300"/>
      <c r="D3" s="300"/>
      <c r="E3" s="300"/>
      <c r="F3" s="300"/>
      <c r="G3" s="300"/>
    </row>
    <row r="4" spans="2:7" s="17" customFormat="1" ht="43.5" customHeight="1">
      <c r="B4" s="223" t="s">
        <v>0</v>
      </c>
      <c r="C4" s="223" t="s">
        <v>1</v>
      </c>
      <c r="D4" s="106" t="s">
        <v>8</v>
      </c>
      <c r="E4" s="223"/>
      <c r="F4" s="144" t="s">
        <v>9</v>
      </c>
      <c r="G4" s="16"/>
    </row>
    <row r="5" spans="2:7" s="1" customFormat="1" ht="9" customHeight="1">
      <c r="B5" s="297"/>
      <c r="C5" s="298"/>
      <c r="D5" s="298"/>
      <c r="E5" s="298"/>
      <c r="F5" s="298"/>
      <c r="G5" s="299"/>
    </row>
    <row r="6" spans="2:7" ht="15.95" customHeight="1">
      <c r="B6" s="4" t="s">
        <v>3</v>
      </c>
      <c r="C6" s="218"/>
      <c r="D6" s="226">
        <v>100</v>
      </c>
      <c r="E6" s="5"/>
      <c r="F6" s="217">
        <f>D6/1</f>
        <v>100</v>
      </c>
      <c r="G6" s="5"/>
    </row>
    <row r="7" spans="2:7" ht="9" customHeight="1">
      <c r="B7" s="270"/>
      <c r="C7" s="271"/>
      <c r="D7" s="271"/>
      <c r="E7" s="271"/>
      <c r="F7" s="271"/>
      <c r="G7" s="272"/>
    </row>
    <row r="8" spans="2:7" ht="30" customHeight="1">
      <c r="B8" s="293" t="s">
        <v>2</v>
      </c>
      <c r="C8" s="218" t="s">
        <v>4</v>
      </c>
      <c r="D8" s="226">
        <v>103</v>
      </c>
      <c r="E8" s="5"/>
      <c r="F8" s="291">
        <f>SUM(D8:D11)/4</f>
        <v>101.75</v>
      </c>
      <c r="G8" s="373"/>
    </row>
    <row r="9" spans="2:7" ht="15.95" customHeight="1">
      <c r="B9" s="293"/>
      <c r="C9" s="218" t="s">
        <v>5</v>
      </c>
      <c r="D9" s="226">
        <v>94.5</v>
      </c>
      <c r="E9" s="7"/>
      <c r="F9" s="291"/>
      <c r="G9" s="373"/>
    </row>
    <row r="10" spans="2:7" ht="15.95" customHeight="1">
      <c r="B10" s="293"/>
      <c r="C10" s="218" t="s">
        <v>6</v>
      </c>
      <c r="D10" s="226">
        <v>84.5</v>
      </c>
      <c r="E10" s="7"/>
      <c r="F10" s="291"/>
      <c r="G10" s="373"/>
    </row>
    <row r="11" spans="2:7" ht="27.75" customHeight="1">
      <c r="B11" s="293"/>
      <c r="C11" s="218" t="s">
        <v>7</v>
      </c>
      <c r="D11" s="226">
        <v>125</v>
      </c>
      <c r="E11" s="7"/>
      <c r="F11" s="291"/>
      <c r="G11" s="373"/>
    </row>
    <row r="12" spans="2:7" ht="9" customHeight="1">
      <c r="B12" s="288"/>
      <c r="C12" s="289"/>
      <c r="D12" s="289"/>
      <c r="E12" s="289"/>
      <c r="F12" s="289"/>
      <c r="G12" s="290"/>
    </row>
    <row r="13" spans="2:7" ht="15.95" customHeight="1">
      <c r="B13" s="293" t="s">
        <v>11</v>
      </c>
      <c r="C13" s="218" t="s">
        <v>12</v>
      </c>
      <c r="D13" s="226">
        <v>100</v>
      </c>
      <c r="E13" s="224"/>
      <c r="F13" s="291">
        <f>(D13+D14)/2</f>
        <v>100</v>
      </c>
      <c r="G13" s="295"/>
    </row>
    <row r="14" spans="2:7" ht="15.95" customHeight="1">
      <c r="B14" s="293"/>
      <c r="C14" s="218" t="s">
        <v>13</v>
      </c>
      <c r="D14" s="226">
        <v>100</v>
      </c>
      <c r="E14" s="224"/>
      <c r="F14" s="291"/>
      <c r="G14" s="296"/>
    </row>
    <row r="15" spans="2:7" ht="9" customHeight="1">
      <c r="B15" s="288"/>
      <c r="C15" s="289"/>
      <c r="D15" s="289"/>
      <c r="E15" s="289"/>
      <c r="F15" s="289"/>
      <c r="G15" s="290"/>
    </row>
    <row r="16" spans="2:7" ht="27" customHeight="1">
      <c r="B16" s="293" t="s">
        <v>14</v>
      </c>
      <c r="C16" s="218" t="s">
        <v>15</v>
      </c>
      <c r="D16" s="226">
        <v>103</v>
      </c>
      <c r="E16" s="224"/>
      <c r="F16" s="291">
        <f>SUM(D16:D19)/4</f>
        <v>98</v>
      </c>
      <c r="G16" s="282"/>
    </row>
    <row r="17" spans="2:7" ht="27" customHeight="1">
      <c r="B17" s="293"/>
      <c r="C17" s="218" t="s">
        <v>93</v>
      </c>
      <c r="D17" s="226">
        <v>100</v>
      </c>
      <c r="E17" s="257"/>
      <c r="F17" s="291"/>
      <c r="G17" s="283"/>
    </row>
    <row r="18" spans="2:7" ht="22.5" customHeight="1">
      <c r="B18" s="293"/>
      <c r="C18" s="218" t="s">
        <v>17</v>
      </c>
      <c r="D18" s="226">
        <v>89</v>
      </c>
      <c r="E18" s="219"/>
      <c r="F18" s="291"/>
      <c r="G18" s="283"/>
    </row>
    <row r="19" spans="2:7" ht="15.95" customHeight="1">
      <c r="B19" s="293"/>
      <c r="C19" s="218" t="s">
        <v>18</v>
      </c>
      <c r="D19" s="226">
        <v>100</v>
      </c>
      <c r="E19" s="257" t="s">
        <v>124</v>
      </c>
      <c r="F19" s="291"/>
      <c r="G19" s="284"/>
    </row>
    <row r="20" spans="2:7" ht="9" customHeight="1">
      <c r="B20" s="270"/>
      <c r="C20" s="271"/>
      <c r="D20" s="271"/>
      <c r="E20" s="271"/>
      <c r="F20" s="271"/>
      <c r="G20" s="272"/>
    </row>
    <row r="21" spans="2:7" ht="15.95" customHeight="1">
      <c r="B21" s="285" t="s">
        <v>19</v>
      </c>
      <c r="C21" s="218" t="s">
        <v>20</v>
      </c>
      <c r="D21" s="226">
        <v>97.5</v>
      </c>
      <c r="E21" s="219"/>
      <c r="F21" s="279">
        <f>SUM(D21:D32)/12</f>
        <v>94</v>
      </c>
      <c r="G21" s="282"/>
    </row>
    <row r="22" spans="2:7" ht="15.95" customHeight="1">
      <c r="B22" s="286"/>
      <c r="C22" s="218" t="s">
        <v>21</v>
      </c>
      <c r="D22" s="226">
        <v>84</v>
      </c>
      <c r="E22" s="234"/>
      <c r="F22" s="280"/>
      <c r="G22" s="283"/>
    </row>
    <row r="23" spans="2:7" ht="15.95" customHeight="1">
      <c r="B23" s="286"/>
      <c r="C23" s="218" t="s">
        <v>22</v>
      </c>
      <c r="D23" s="226">
        <v>100</v>
      </c>
      <c r="E23" s="224"/>
      <c r="F23" s="280"/>
      <c r="G23" s="283"/>
    </row>
    <row r="24" spans="2:7" ht="15.95" customHeight="1">
      <c r="B24" s="286"/>
      <c r="C24" s="218" t="s">
        <v>23</v>
      </c>
      <c r="D24" s="226">
        <v>97</v>
      </c>
      <c r="E24" s="219"/>
      <c r="F24" s="280"/>
      <c r="G24" s="283"/>
    </row>
    <row r="25" spans="2:7" ht="15.95" customHeight="1">
      <c r="B25" s="286"/>
      <c r="C25" s="218" t="s">
        <v>24</v>
      </c>
      <c r="D25" s="226">
        <v>100</v>
      </c>
      <c r="E25" s="224"/>
      <c r="F25" s="280"/>
      <c r="G25" s="283"/>
    </row>
    <row r="26" spans="2:7" ht="15.95" customHeight="1">
      <c r="B26" s="286"/>
      <c r="C26" s="218" t="s">
        <v>25</v>
      </c>
      <c r="D26" s="226">
        <v>105.5</v>
      </c>
      <c r="E26" s="224"/>
      <c r="F26" s="280"/>
      <c r="G26" s="283"/>
    </row>
    <row r="27" spans="2:7" ht="15.95" customHeight="1">
      <c r="B27" s="286"/>
      <c r="C27" s="218" t="s">
        <v>26</v>
      </c>
      <c r="D27" s="226">
        <v>90.5</v>
      </c>
      <c r="E27" s="219"/>
      <c r="F27" s="280"/>
      <c r="G27" s="283"/>
    </row>
    <row r="28" spans="2:7" ht="29.25" customHeight="1">
      <c r="B28" s="286"/>
      <c r="C28" s="218" t="s">
        <v>27</v>
      </c>
      <c r="D28" s="226">
        <v>89</v>
      </c>
      <c r="E28" s="219"/>
      <c r="F28" s="280"/>
      <c r="G28" s="283"/>
    </row>
    <row r="29" spans="2:7" ht="15.95" customHeight="1">
      <c r="B29" s="286"/>
      <c r="C29" s="218" t="s">
        <v>28</v>
      </c>
      <c r="D29" s="226">
        <v>65.5</v>
      </c>
      <c r="E29" s="254"/>
      <c r="F29" s="280"/>
      <c r="G29" s="283"/>
    </row>
    <row r="30" spans="2:7" ht="15.95" customHeight="1">
      <c r="B30" s="286"/>
      <c r="C30" s="218" t="s">
        <v>29</v>
      </c>
      <c r="D30" s="226">
        <v>105.5</v>
      </c>
      <c r="E30" s="257"/>
      <c r="F30" s="280"/>
      <c r="G30" s="283"/>
    </row>
    <row r="31" spans="2:7" ht="15.95" customHeight="1">
      <c r="B31" s="286"/>
      <c r="C31" s="218" t="s">
        <v>30</v>
      </c>
      <c r="D31" s="226">
        <v>98.5</v>
      </c>
      <c r="E31" s="219"/>
      <c r="F31" s="280"/>
      <c r="G31" s="283"/>
    </row>
    <row r="32" spans="2:7" ht="15.95" customHeight="1">
      <c r="B32" s="287"/>
      <c r="C32" s="218" t="s">
        <v>31</v>
      </c>
      <c r="D32" s="226">
        <v>95</v>
      </c>
      <c r="E32" s="219"/>
      <c r="F32" s="281"/>
      <c r="G32" s="284"/>
    </row>
    <row r="33" spans="2:7" ht="9" customHeight="1">
      <c r="B33" s="270"/>
      <c r="C33" s="271"/>
      <c r="D33" s="271"/>
      <c r="E33" s="271"/>
      <c r="F33" s="271"/>
      <c r="G33" s="272"/>
    </row>
    <row r="34" spans="2:7" ht="26.25" customHeight="1">
      <c r="B34" s="285" t="s">
        <v>32</v>
      </c>
      <c r="C34" s="218" t="s">
        <v>33</v>
      </c>
      <c r="D34" s="226">
        <v>90.5</v>
      </c>
      <c r="E34" s="254"/>
      <c r="F34" s="279">
        <f>SUM(D34:D39)/6</f>
        <v>83.75</v>
      </c>
      <c r="G34" s="282"/>
    </row>
    <row r="35" spans="2:7" ht="15.95" customHeight="1">
      <c r="B35" s="286"/>
      <c r="C35" s="218" t="s">
        <v>34</v>
      </c>
      <c r="D35" s="226">
        <v>89.5</v>
      </c>
      <c r="E35" s="219"/>
      <c r="F35" s="280"/>
      <c r="G35" s="283"/>
    </row>
    <row r="36" spans="2:7" ht="15.95" customHeight="1">
      <c r="B36" s="286"/>
      <c r="C36" s="218" t="s">
        <v>35</v>
      </c>
      <c r="D36" s="226">
        <v>122.5</v>
      </c>
      <c r="E36" s="224"/>
      <c r="F36" s="280"/>
      <c r="G36" s="283"/>
    </row>
    <row r="37" spans="2:7" ht="27.75" customHeight="1">
      <c r="B37" s="286"/>
      <c r="C37" s="218" t="s">
        <v>36</v>
      </c>
      <c r="D37" s="226">
        <v>37</v>
      </c>
      <c r="E37" s="14"/>
      <c r="F37" s="280"/>
      <c r="G37" s="283"/>
    </row>
    <row r="38" spans="2:7" ht="27" customHeight="1">
      <c r="B38" s="286"/>
      <c r="C38" s="218" t="s">
        <v>37</v>
      </c>
      <c r="D38" s="226">
        <v>105</v>
      </c>
      <c r="E38" s="224"/>
      <c r="F38" s="280"/>
      <c r="G38" s="283"/>
    </row>
    <row r="39" spans="2:7" ht="15.95" customHeight="1">
      <c r="B39" s="287"/>
      <c r="C39" s="218" t="s">
        <v>38</v>
      </c>
      <c r="D39" s="226">
        <v>58</v>
      </c>
      <c r="E39" s="254"/>
      <c r="F39" s="281"/>
      <c r="G39" s="284"/>
    </row>
    <row r="40" spans="2:7" ht="9" customHeight="1">
      <c r="B40" s="270"/>
      <c r="C40" s="271"/>
      <c r="D40" s="271"/>
      <c r="E40" s="271"/>
      <c r="F40" s="271"/>
      <c r="G40" s="272"/>
    </row>
    <row r="41" spans="2:7" ht="27.75" customHeight="1">
      <c r="B41" s="276" t="s">
        <v>39</v>
      </c>
      <c r="C41" s="218" t="s">
        <v>40</v>
      </c>
      <c r="D41" s="226">
        <v>96</v>
      </c>
      <c r="E41" s="219"/>
      <c r="F41" s="279">
        <f>SUM(D41:D50)/8</f>
        <v>99.75</v>
      </c>
      <c r="G41" s="282"/>
    </row>
    <row r="42" spans="2:7" ht="15.95" customHeight="1">
      <c r="B42" s="277"/>
      <c r="C42" s="218" t="s">
        <v>41</v>
      </c>
      <c r="D42" s="226">
        <v>100</v>
      </c>
      <c r="E42" s="224"/>
      <c r="F42" s="280"/>
      <c r="G42" s="283"/>
    </row>
    <row r="43" spans="2:7" ht="26.25" customHeight="1">
      <c r="B43" s="277"/>
      <c r="C43" s="218" t="s">
        <v>42</v>
      </c>
      <c r="D43" s="226">
        <v>108.5</v>
      </c>
      <c r="E43" s="261"/>
      <c r="F43" s="280"/>
      <c r="G43" s="283"/>
    </row>
    <row r="44" spans="2:7" ht="15.95" customHeight="1">
      <c r="B44" s="277"/>
      <c r="C44" s="218" t="s">
        <v>43</v>
      </c>
      <c r="D44" s="226">
        <v>75</v>
      </c>
      <c r="E44" s="254"/>
      <c r="F44" s="280"/>
      <c r="G44" s="283"/>
    </row>
    <row r="45" spans="2:7" ht="27" customHeight="1">
      <c r="B45" s="277"/>
      <c r="C45" s="218" t="s">
        <v>44</v>
      </c>
      <c r="D45" s="226">
        <v>95</v>
      </c>
      <c r="E45" s="219"/>
      <c r="F45" s="280"/>
      <c r="G45" s="283"/>
    </row>
    <row r="46" spans="2:7" ht="29.25" customHeight="1">
      <c r="B46" s="277"/>
      <c r="C46" s="218" t="s">
        <v>45</v>
      </c>
      <c r="D46" s="226">
        <v>73.5</v>
      </c>
      <c r="E46" s="219"/>
      <c r="F46" s="280"/>
      <c r="G46" s="283"/>
    </row>
    <row r="47" spans="2:7" ht="30" customHeight="1">
      <c r="B47" s="277"/>
      <c r="C47" s="218" t="s">
        <v>46</v>
      </c>
      <c r="D47" s="226">
        <v>74</v>
      </c>
      <c r="E47" s="254"/>
      <c r="F47" s="280"/>
      <c r="G47" s="283"/>
    </row>
    <row r="48" spans="2:7" ht="15.95" customHeight="1">
      <c r="B48" s="277"/>
      <c r="C48" s="218" t="s">
        <v>47</v>
      </c>
      <c r="D48" s="226">
        <v>1</v>
      </c>
      <c r="E48" s="14"/>
      <c r="F48" s="280"/>
      <c r="G48" s="283"/>
    </row>
    <row r="49" spans="2:10" ht="26.25" customHeight="1">
      <c r="B49" s="277"/>
      <c r="C49" s="218" t="s">
        <v>48</v>
      </c>
      <c r="D49" s="226">
        <v>75</v>
      </c>
      <c r="E49" s="219"/>
      <c r="F49" s="280"/>
      <c r="G49" s="283"/>
      <c r="J49" t="s">
        <v>124</v>
      </c>
    </row>
    <row r="50" spans="2:10" ht="15.95" customHeight="1">
      <c r="B50" s="278"/>
      <c r="C50" s="218" t="s">
        <v>49</v>
      </c>
      <c r="D50" s="226">
        <v>100</v>
      </c>
      <c r="E50" s="224"/>
      <c r="F50" s="281"/>
      <c r="G50" s="284"/>
    </row>
    <row r="51" spans="2:10" ht="9" customHeight="1">
      <c r="B51" s="270"/>
      <c r="C51" s="271"/>
      <c r="D51" s="271"/>
      <c r="E51" s="271"/>
      <c r="F51" s="271"/>
      <c r="G51" s="272"/>
    </row>
    <row r="52" spans="2:10" ht="15.95" customHeight="1">
      <c r="B52" s="273" t="s">
        <v>134</v>
      </c>
      <c r="C52" s="274"/>
      <c r="D52" s="274"/>
      <c r="E52" s="275"/>
      <c r="F52" s="221">
        <f>SUM(F6+F8+F13+F16+F21+F34+F41)/7</f>
        <v>96.75</v>
      </c>
      <c r="G52" s="7"/>
    </row>
    <row r="67" spans="3:3">
      <c r="C67" s="2"/>
    </row>
  </sheetData>
  <mergeCells count="30">
    <mergeCell ref="B52:E52"/>
    <mergeCell ref="B20:G20"/>
    <mergeCell ref="B21:B32"/>
    <mergeCell ref="F21:F32"/>
    <mergeCell ref="G21:G32"/>
    <mergeCell ref="B33:G33"/>
    <mergeCell ref="B34:B39"/>
    <mergeCell ref="F34:F39"/>
    <mergeCell ref="G34:G39"/>
    <mergeCell ref="B40:G40"/>
    <mergeCell ref="B41:B50"/>
    <mergeCell ref="F41:F50"/>
    <mergeCell ref="G41:G50"/>
    <mergeCell ref="B51:G51"/>
    <mergeCell ref="B16:B19"/>
    <mergeCell ref="F16:F19"/>
    <mergeCell ref="G16:G19"/>
    <mergeCell ref="B1:G1"/>
    <mergeCell ref="B2:G2"/>
    <mergeCell ref="B3:G3"/>
    <mergeCell ref="B5:G5"/>
    <mergeCell ref="B7:G7"/>
    <mergeCell ref="B8:B11"/>
    <mergeCell ref="F8:F11"/>
    <mergeCell ref="G8:G11"/>
    <mergeCell ref="B12:G12"/>
    <mergeCell ref="B13:B14"/>
    <mergeCell ref="F13:F14"/>
    <mergeCell ref="G13:G14"/>
    <mergeCell ref="B15:G15"/>
  </mergeCells>
  <pageMargins left="0.70866141732283472" right="0.70866141732283472" top="0.74803149606299213" bottom="0.74803149606299213" header="0.31496062992125984" footer="0.31496062992125984"/>
  <pageSetup scale="95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5"/>
  <sheetViews>
    <sheetView topLeftCell="B9" zoomScale="60" zoomScaleNormal="60" workbookViewId="0">
      <selection activeCell="H50" sqref="H50"/>
    </sheetView>
  </sheetViews>
  <sheetFormatPr baseColWidth="10" defaultRowHeight="15"/>
  <cols>
    <col min="1" max="1" width="23.7109375" style="2" customWidth="1"/>
    <col min="2" max="2" width="26.7109375" style="8" customWidth="1"/>
    <col min="3" max="3" width="12.7109375" style="10" customWidth="1"/>
    <col min="4" max="4" width="7.5703125" style="8" customWidth="1"/>
    <col min="5" max="5" width="8.42578125" style="8" customWidth="1"/>
    <col min="6" max="6" width="6.85546875" style="8" customWidth="1"/>
    <col min="7" max="7" width="9.7109375" style="10" customWidth="1"/>
    <col min="8" max="8" width="7.7109375" style="3" customWidth="1"/>
    <col min="9" max="9" width="8.7109375" style="19" customWidth="1"/>
    <col min="10" max="10" width="7.7109375" style="2" customWidth="1"/>
    <col min="11" max="11" width="3.42578125" customWidth="1"/>
    <col min="12" max="12" width="16" style="10" customWidth="1"/>
    <col min="13" max="13" width="7.7109375" style="3" customWidth="1"/>
    <col min="14" max="14" width="13.7109375" style="19" customWidth="1"/>
    <col min="15" max="15" width="7.7109375" style="2" customWidth="1"/>
  </cols>
  <sheetData>
    <row r="1" spans="1:15" ht="18" hidden="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L1"/>
      <c r="M1"/>
      <c r="N1"/>
      <c r="O1"/>
    </row>
    <row r="2" spans="1:15" ht="18" hidden="1" customHeight="1">
      <c r="A2" s="301" t="s">
        <v>94</v>
      </c>
      <c r="B2" s="301"/>
      <c r="C2" s="301"/>
      <c r="D2" s="301"/>
      <c r="E2" s="301"/>
      <c r="F2" s="301"/>
      <c r="G2" s="301"/>
      <c r="H2" s="301"/>
      <c r="I2" s="301"/>
      <c r="J2" s="301"/>
      <c r="L2"/>
      <c r="M2"/>
      <c r="N2"/>
      <c r="O2"/>
    </row>
    <row r="3" spans="1:15" ht="18" hidden="1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L3"/>
      <c r="M3"/>
      <c r="N3"/>
      <c r="O3"/>
    </row>
    <row r="4" spans="1:15" ht="18" customHeight="1">
      <c r="C4" s="305" t="s">
        <v>96</v>
      </c>
      <c r="D4" s="305"/>
      <c r="E4" s="305"/>
      <c r="F4" s="305"/>
      <c r="G4" s="305" t="s">
        <v>97</v>
      </c>
      <c r="H4" s="305"/>
      <c r="I4" s="305"/>
      <c r="J4" s="305"/>
      <c r="L4" s="305" t="s">
        <v>131</v>
      </c>
      <c r="M4" s="305"/>
      <c r="N4" s="305"/>
      <c r="O4" s="305"/>
    </row>
    <row r="5" spans="1:15" s="17" customFormat="1" ht="43.5" customHeight="1">
      <c r="A5" s="223" t="s">
        <v>0</v>
      </c>
      <c r="B5" s="223" t="s">
        <v>1</v>
      </c>
      <c r="C5" s="223" t="s">
        <v>8</v>
      </c>
      <c r="D5" s="223"/>
      <c r="E5" s="20" t="s">
        <v>9</v>
      </c>
      <c r="F5" s="223"/>
      <c r="G5" s="223" t="s">
        <v>8</v>
      </c>
      <c r="H5" s="223"/>
      <c r="I5" s="20" t="s">
        <v>9</v>
      </c>
      <c r="J5" s="16"/>
      <c r="L5" s="223" t="s">
        <v>8</v>
      </c>
      <c r="M5" s="223"/>
      <c r="N5" s="20" t="s">
        <v>9</v>
      </c>
      <c r="O5" s="16"/>
    </row>
    <row r="6" spans="1:15" s="1" customFormat="1" ht="15.9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5" ht="15.95" customHeight="1">
      <c r="A7" s="4" t="s">
        <v>3</v>
      </c>
      <c r="B7" s="218"/>
      <c r="C7" s="220">
        <v>50</v>
      </c>
      <c r="D7" s="5"/>
      <c r="E7" s="220">
        <f>C7/1</f>
        <v>50</v>
      </c>
      <c r="F7" s="47"/>
      <c r="G7" s="226">
        <v>50</v>
      </c>
      <c r="H7" s="5"/>
      <c r="I7" s="220">
        <f>G7/1</f>
        <v>50</v>
      </c>
      <c r="J7" s="5"/>
      <c r="L7" s="226">
        <f>C7+G7</f>
        <v>100</v>
      </c>
      <c r="M7" s="5"/>
      <c r="N7" s="217">
        <f>E7+I7</f>
        <v>100</v>
      </c>
      <c r="O7" s="5"/>
    </row>
    <row r="8" spans="1:15" ht="15.95" customHeight="1">
      <c r="A8" s="270"/>
      <c r="B8" s="271"/>
      <c r="C8" s="271"/>
      <c r="D8" s="271"/>
      <c r="E8" s="271"/>
      <c r="F8" s="271"/>
      <c r="G8" s="271"/>
      <c r="H8" s="271"/>
      <c r="I8" s="271"/>
      <c r="J8" s="272"/>
      <c r="L8"/>
      <c r="M8"/>
      <c r="N8"/>
      <c r="O8"/>
    </row>
    <row r="9" spans="1:15" ht="30.75" customHeight="1">
      <c r="A9" s="293" t="s">
        <v>2</v>
      </c>
      <c r="B9" s="218" t="s">
        <v>4</v>
      </c>
      <c r="C9" s="226">
        <f>104/2</f>
        <v>52</v>
      </c>
      <c r="D9" s="47"/>
      <c r="E9" s="306">
        <f>SUM(C9:C12)/4</f>
        <v>38.875</v>
      </c>
      <c r="F9" s="352"/>
      <c r="G9" s="226">
        <f>102/2</f>
        <v>51</v>
      </c>
      <c r="H9" s="5"/>
      <c r="I9" s="306">
        <f>SUM(G9:G12)/4</f>
        <v>62.875</v>
      </c>
      <c r="J9" s="373"/>
      <c r="L9" s="226">
        <f>C9+G9</f>
        <v>103</v>
      </c>
      <c r="M9" s="47"/>
      <c r="N9" s="291">
        <f>E9+I9</f>
        <v>101.75</v>
      </c>
      <c r="O9" s="373"/>
    </row>
    <row r="10" spans="1:15" ht="15.95" customHeight="1">
      <c r="A10" s="293"/>
      <c r="B10" s="218" t="s">
        <v>5</v>
      </c>
      <c r="C10" s="226">
        <f>72/2</f>
        <v>36</v>
      </c>
      <c r="D10" s="225"/>
      <c r="E10" s="306"/>
      <c r="F10" s="353"/>
      <c r="G10" s="226">
        <f>117/2</f>
        <v>58.5</v>
      </c>
      <c r="H10" s="5"/>
      <c r="I10" s="306"/>
      <c r="J10" s="373"/>
      <c r="L10" s="226">
        <f>C10+G10</f>
        <v>94.5</v>
      </c>
      <c r="M10" s="225"/>
      <c r="N10" s="291"/>
      <c r="O10" s="373"/>
    </row>
    <row r="11" spans="1:15" ht="15.95" customHeight="1">
      <c r="A11" s="293"/>
      <c r="B11" s="218" t="s">
        <v>6</v>
      </c>
      <c r="C11" s="226">
        <f>60/2</f>
        <v>30</v>
      </c>
      <c r="D11" s="225"/>
      <c r="E11" s="306"/>
      <c r="F11" s="353"/>
      <c r="G11" s="226">
        <f>109/2</f>
        <v>54.5</v>
      </c>
      <c r="H11" s="5"/>
      <c r="I11" s="306"/>
      <c r="J11" s="373"/>
      <c r="L11" s="226">
        <f>C11+G11</f>
        <v>84.5</v>
      </c>
      <c r="M11" s="225"/>
      <c r="N11" s="291"/>
      <c r="O11" s="373"/>
    </row>
    <row r="12" spans="1:15" ht="27.75" customHeight="1">
      <c r="A12" s="293"/>
      <c r="B12" s="218" t="s">
        <v>7</v>
      </c>
      <c r="C12" s="226">
        <f>75/2</f>
        <v>37.5</v>
      </c>
      <c r="D12" s="225"/>
      <c r="E12" s="306"/>
      <c r="F12" s="354"/>
      <c r="G12" s="226">
        <f>175/2</f>
        <v>87.5</v>
      </c>
      <c r="H12" s="5"/>
      <c r="I12" s="306"/>
      <c r="J12" s="373"/>
      <c r="L12" s="226">
        <f>C12+G12</f>
        <v>125</v>
      </c>
      <c r="M12" s="225"/>
      <c r="N12" s="291"/>
      <c r="O12" s="373"/>
    </row>
    <row r="13" spans="1:15" ht="15.95" customHeight="1">
      <c r="A13" s="288"/>
      <c r="B13" s="289"/>
      <c r="C13" s="289"/>
      <c r="D13" s="289"/>
      <c r="E13" s="289"/>
      <c r="F13" s="289"/>
      <c r="G13" s="289"/>
      <c r="H13" s="289"/>
      <c r="I13" s="289"/>
      <c r="J13" s="290"/>
      <c r="L13"/>
      <c r="M13"/>
      <c r="N13"/>
      <c r="O13"/>
    </row>
    <row r="14" spans="1:15" ht="15.95" customHeight="1">
      <c r="A14" s="293" t="s">
        <v>11</v>
      </c>
      <c r="B14" s="218" t="s">
        <v>12</v>
      </c>
      <c r="C14" s="226">
        <f>100/2</f>
        <v>50</v>
      </c>
      <c r="D14" s="47"/>
      <c r="E14" s="312">
        <f>SUM(C14:C15)/2</f>
        <v>50</v>
      </c>
      <c r="F14" s="317"/>
      <c r="G14" s="226">
        <v>50</v>
      </c>
      <c r="H14" s="253"/>
      <c r="I14" s="312">
        <f>SUM(G14:G15)/2</f>
        <v>50</v>
      </c>
      <c r="J14" s="295"/>
      <c r="L14" s="226">
        <f>C14+G14</f>
        <v>100</v>
      </c>
      <c r="M14" s="47"/>
      <c r="N14" s="291">
        <f>E14+I14</f>
        <v>100</v>
      </c>
      <c r="O14" s="282"/>
    </row>
    <row r="15" spans="1:15" ht="15.95" customHeight="1">
      <c r="A15" s="293"/>
      <c r="B15" s="218" t="s">
        <v>13</v>
      </c>
      <c r="C15" s="226">
        <f>100/2</f>
        <v>50</v>
      </c>
      <c r="D15" s="47"/>
      <c r="E15" s="313"/>
      <c r="F15" s="317"/>
      <c r="G15" s="226">
        <v>50</v>
      </c>
      <c r="H15" s="253"/>
      <c r="I15" s="313"/>
      <c r="J15" s="296"/>
      <c r="L15" s="226">
        <f>C15+G15</f>
        <v>100</v>
      </c>
      <c r="M15" s="47"/>
      <c r="N15" s="291"/>
      <c r="O15" s="284"/>
    </row>
    <row r="16" spans="1:15" ht="15.95" customHeight="1">
      <c r="A16" s="288"/>
      <c r="B16" s="289"/>
      <c r="C16" s="289"/>
      <c r="D16" s="289"/>
      <c r="E16" s="289"/>
      <c r="F16" s="289"/>
      <c r="G16" s="289"/>
      <c r="H16" s="289"/>
      <c r="I16" s="289"/>
      <c r="J16" s="290"/>
      <c r="L16"/>
      <c r="M16"/>
      <c r="N16"/>
      <c r="O16"/>
    </row>
    <row r="17" spans="1:15" ht="27" customHeight="1">
      <c r="A17" s="293" t="s">
        <v>14</v>
      </c>
      <c r="B17" s="218" t="s">
        <v>15</v>
      </c>
      <c r="C17" s="226">
        <f>100/2</f>
        <v>50</v>
      </c>
      <c r="D17" s="47"/>
      <c r="E17" s="314">
        <f>SUM(C17:C20)/4</f>
        <v>38.5</v>
      </c>
      <c r="F17" s="303"/>
      <c r="G17" s="226">
        <f>106/2</f>
        <v>53</v>
      </c>
      <c r="H17" s="253"/>
      <c r="I17" s="314">
        <f>SUM(G17:G20)/4</f>
        <v>59.5</v>
      </c>
      <c r="J17" s="295"/>
      <c r="L17" s="226">
        <f>C17+G17</f>
        <v>103</v>
      </c>
      <c r="M17" s="47"/>
      <c r="N17" s="291">
        <f>E17+I17</f>
        <v>98</v>
      </c>
      <c r="O17" s="295"/>
    </row>
    <row r="18" spans="1:15" ht="27" customHeight="1">
      <c r="A18" s="293"/>
      <c r="B18" s="218" t="s">
        <v>93</v>
      </c>
      <c r="C18" s="226">
        <f>100/2</f>
        <v>50</v>
      </c>
      <c r="D18" s="47"/>
      <c r="E18" s="315"/>
      <c r="F18" s="303"/>
      <c r="G18" s="226">
        <f>100/2</f>
        <v>50</v>
      </c>
      <c r="H18" s="257"/>
      <c r="I18" s="315"/>
      <c r="J18" s="372"/>
      <c r="L18" s="226">
        <f>C18+G18</f>
        <v>100</v>
      </c>
      <c r="M18" s="47"/>
      <c r="N18" s="291"/>
      <c r="O18" s="372"/>
    </row>
    <row r="19" spans="1:15" ht="15.95" customHeight="1">
      <c r="A19" s="293"/>
      <c r="B19" s="218" t="s">
        <v>17</v>
      </c>
      <c r="C19" s="226">
        <f>83/2</f>
        <v>41.5</v>
      </c>
      <c r="D19" s="225"/>
      <c r="E19" s="315"/>
      <c r="F19" s="303"/>
      <c r="G19" s="226">
        <f>95/2</f>
        <v>47.5</v>
      </c>
      <c r="H19" s="252"/>
      <c r="I19" s="315"/>
      <c r="J19" s="372"/>
      <c r="L19" s="226">
        <f>C19+G19</f>
        <v>89</v>
      </c>
      <c r="M19" s="225"/>
      <c r="N19" s="291"/>
      <c r="O19" s="372"/>
    </row>
    <row r="20" spans="1:15" ht="15.95" customHeight="1">
      <c r="A20" s="293"/>
      <c r="B20" s="218" t="s">
        <v>18</v>
      </c>
      <c r="C20" s="226">
        <f>25/2</f>
        <v>12.5</v>
      </c>
      <c r="D20" s="225"/>
      <c r="E20" s="316"/>
      <c r="F20" s="304"/>
      <c r="G20" s="226">
        <f>175/2</f>
        <v>87.5</v>
      </c>
      <c r="H20" s="253"/>
      <c r="I20" s="316"/>
      <c r="J20" s="296"/>
      <c r="L20" s="226">
        <f>C20+G20</f>
        <v>100</v>
      </c>
      <c r="M20" s="47"/>
      <c r="N20" s="291"/>
      <c r="O20" s="296"/>
    </row>
    <row r="21" spans="1:15" ht="15.95" customHeight="1">
      <c r="A21" s="270"/>
      <c r="B21" s="271"/>
      <c r="C21" s="271"/>
      <c r="D21" s="271"/>
      <c r="E21" s="271"/>
      <c r="F21" s="271"/>
      <c r="G21" s="271"/>
      <c r="H21" s="271"/>
      <c r="I21" s="271"/>
      <c r="J21" s="272"/>
      <c r="L21"/>
      <c r="M21"/>
      <c r="N21"/>
      <c r="O21"/>
    </row>
    <row r="22" spans="1:15" ht="15.95" customHeight="1">
      <c r="A22" s="285" t="s">
        <v>19</v>
      </c>
      <c r="B22" s="218" t="s">
        <v>20</v>
      </c>
      <c r="C22" s="226">
        <f>100/2</f>
        <v>50</v>
      </c>
      <c r="D22" s="257"/>
      <c r="E22" s="380">
        <f>SUM(C22:C33)/12</f>
        <v>41.208333333333336</v>
      </c>
      <c r="F22" s="308"/>
      <c r="G22" s="226">
        <f>95/2</f>
        <v>47.5</v>
      </c>
      <c r="H22" s="252"/>
      <c r="I22" s="380">
        <f>SUM(G22:G33)/12</f>
        <v>52.791666666666664</v>
      </c>
      <c r="J22" s="282"/>
      <c r="L22" s="226">
        <f t="shared" ref="L22:L33" si="0">C22+G22</f>
        <v>97.5</v>
      </c>
      <c r="M22" s="219"/>
      <c r="N22" s="279">
        <f>E22+I22</f>
        <v>94</v>
      </c>
      <c r="O22" s="282"/>
    </row>
    <row r="23" spans="1:15" ht="15.95" customHeight="1">
      <c r="A23" s="286"/>
      <c r="B23" s="218" t="s">
        <v>21</v>
      </c>
      <c r="C23" s="226">
        <f>69/2</f>
        <v>34.5</v>
      </c>
      <c r="D23" s="234"/>
      <c r="E23" s="380"/>
      <c r="F23" s="309"/>
      <c r="G23" s="226">
        <f>99/2</f>
        <v>49.5</v>
      </c>
      <c r="H23" s="252"/>
      <c r="I23" s="380"/>
      <c r="J23" s="283"/>
      <c r="L23" s="226">
        <f t="shared" si="0"/>
        <v>84</v>
      </c>
      <c r="M23" s="234"/>
      <c r="N23" s="280"/>
      <c r="O23" s="283"/>
    </row>
    <row r="24" spans="1:15" ht="15.95" customHeight="1">
      <c r="A24" s="286"/>
      <c r="B24" s="218" t="s">
        <v>22</v>
      </c>
      <c r="C24" s="226">
        <f>100/2</f>
        <v>50</v>
      </c>
      <c r="D24" s="224"/>
      <c r="E24" s="380"/>
      <c r="F24" s="309"/>
      <c r="G24" s="226">
        <f>100/2</f>
        <v>50</v>
      </c>
      <c r="H24" s="253"/>
      <c r="I24" s="380"/>
      <c r="J24" s="283"/>
      <c r="L24" s="226">
        <f t="shared" si="0"/>
        <v>100</v>
      </c>
      <c r="M24" s="224"/>
      <c r="N24" s="280"/>
      <c r="O24" s="283"/>
    </row>
    <row r="25" spans="1:15" ht="15.95" customHeight="1">
      <c r="A25" s="286"/>
      <c r="B25" s="218" t="s">
        <v>23</v>
      </c>
      <c r="C25" s="226">
        <f>87/2</f>
        <v>43.5</v>
      </c>
      <c r="D25" s="219"/>
      <c r="E25" s="380"/>
      <c r="F25" s="309"/>
      <c r="G25" s="226">
        <f>107/2</f>
        <v>53.5</v>
      </c>
      <c r="H25" s="253"/>
      <c r="I25" s="380"/>
      <c r="J25" s="283"/>
      <c r="L25" s="226">
        <f t="shared" si="0"/>
        <v>97</v>
      </c>
      <c r="M25" s="219"/>
      <c r="N25" s="280"/>
      <c r="O25" s="283"/>
    </row>
    <row r="26" spans="1:15" ht="15.95" customHeight="1">
      <c r="A26" s="286"/>
      <c r="B26" s="218" t="s">
        <v>24</v>
      </c>
      <c r="C26" s="226">
        <f>100/2</f>
        <v>50</v>
      </c>
      <c r="D26" s="224"/>
      <c r="E26" s="380"/>
      <c r="F26" s="309"/>
      <c r="G26" s="226">
        <f>100/2</f>
        <v>50</v>
      </c>
      <c r="H26" s="253"/>
      <c r="I26" s="380"/>
      <c r="J26" s="283"/>
      <c r="L26" s="226">
        <f t="shared" si="0"/>
        <v>100</v>
      </c>
      <c r="M26" s="224"/>
      <c r="N26" s="280"/>
      <c r="O26" s="283"/>
    </row>
    <row r="27" spans="1:15" ht="15.95" customHeight="1">
      <c r="A27" s="286"/>
      <c r="B27" s="218" t="s">
        <v>25</v>
      </c>
      <c r="C27" s="226">
        <f>111/2</f>
        <v>55.5</v>
      </c>
      <c r="D27" s="224"/>
      <c r="E27" s="380"/>
      <c r="F27" s="309"/>
      <c r="G27" s="226">
        <f>100/2</f>
        <v>50</v>
      </c>
      <c r="H27" s="253"/>
      <c r="I27" s="380"/>
      <c r="J27" s="283"/>
      <c r="L27" s="226">
        <f t="shared" si="0"/>
        <v>105.5</v>
      </c>
      <c r="M27" s="224"/>
      <c r="N27" s="280"/>
      <c r="O27" s="283"/>
    </row>
    <row r="28" spans="1:15" ht="15.95" customHeight="1">
      <c r="A28" s="286"/>
      <c r="B28" s="218" t="s">
        <v>26</v>
      </c>
      <c r="C28" s="226">
        <f>90/2</f>
        <v>45</v>
      </c>
      <c r="D28" s="219"/>
      <c r="E28" s="380"/>
      <c r="F28" s="309"/>
      <c r="G28" s="226">
        <f>91/2</f>
        <v>45.5</v>
      </c>
      <c r="H28" s="254"/>
      <c r="I28" s="380"/>
      <c r="J28" s="283"/>
      <c r="L28" s="226">
        <f t="shared" si="0"/>
        <v>90.5</v>
      </c>
      <c r="M28" s="219"/>
      <c r="N28" s="280"/>
      <c r="O28" s="283"/>
    </row>
    <row r="29" spans="1:15" ht="30.75" customHeight="1">
      <c r="A29" s="286"/>
      <c r="B29" s="218" t="s">
        <v>27</v>
      </c>
      <c r="C29" s="226">
        <f>83/2</f>
        <v>41.5</v>
      </c>
      <c r="D29" s="219"/>
      <c r="E29" s="380"/>
      <c r="F29" s="309"/>
      <c r="G29" s="226">
        <f>95/2</f>
        <v>47.5</v>
      </c>
      <c r="H29" s="254"/>
      <c r="I29" s="380"/>
      <c r="J29" s="283"/>
      <c r="L29" s="226">
        <f t="shared" si="0"/>
        <v>89</v>
      </c>
      <c r="M29" s="219"/>
      <c r="N29" s="280"/>
      <c r="O29" s="283"/>
    </row>
    <row r="30" spans="1:15" ht="15.95" customHeight="1">
      <c r="A30" s="286"/>
      <c r="B30" s="218" t="s">
        <v>28</v>
      </c>
      <c r="C30" s="226">
        <f>35/2</f>
        <v>17.5</v>
      </c>
      <c r="D30" s="14"/>
      <c r="E30" s="380"/>
      <c r="F30" s="309"/>
      <c r="G30" s="226">
        <f>96/2</f>
        <v>48</v>
      </c>
      <c r="H30" s="254"/>
      <c r="I30" s="380"/>
      <c r="J30" s="283"/>
      <c r="L30" s="226">
        <f t="shared" si="0"/>
        <v>65.5</v>
      </c>
      <c r="M30" s="254"/>
      <c r="N30" s="280"/>
      <c r="O30" s="283"/>
    </row>
    <row r="31" spans="1:15" ht="15.95" customHeight="1">
      <c r="A31" s="286"/>
      <c r="B31" s="218" t="s">
        <v>29</v>
      </c>
      <c r="C31" s="226">
        <f>67/2</f>
        <v>33.5</v>
      </c>
      <c r="D31" s="219"/>
      <c r="E31" s="380"/>
      <c r="F31" s="309"/>
      <c r="G31" s="226">
        <f>144/2</f>
        <v>72</v>
      </c>
      <c r="H31" s="257"/>
      <c r="I31" s="380"/>
      <c r="J31" s="283"/>
      <c r="L31" s="226">
        <f t="shared" si="0"/>
        <v>105.5</v>
      </c>
      <c r="M31" s="257"/>
      <c r="N31" s="280"/>
      <c r="O31" s="283"/>
    </row>
    <row r="32" spans="1:15" ht="15.95" customHeight="1">
      <c r="A32" s="286"/>
      <c r="B32" s="218" t="s">
        <v>30</v>
      </c>
      <c r="C32" s="226">
        <f>67/2</f>
        <v>33.5</v>
      </c>
      <c r="D32" s="219"/>
      <c r="E32" s="380"/>
      <c r="F32" s="309"/>
      <c r="G32" s="226">
        <f>130/2</f>
        <v>65</v>
      </c>
      <c r="H32" s="257"/>
      <c r="I32" s="380"/>
      <c r="J32" s="283"/>
      <c r="L32" s="226">
        <f>C32+G32</f>
        <v>98.5</v>
      </c>
      <c r="M32" s="219"/>
      <c r="N32" s="280"/>
      <c r="O32" s="283"/>
    </row>
    <row r="33" spans="1:15" ht="15.95" customHeight="1">
      <c r="A33" s="287"/>
      <c r="B33" s="218" t="s">
        <v>31</v>
      </c>
      <c r="C33" s="226">
        <f>80/2</f>
        <v>40</v>
      </c>
      <c r="D33" s="219"/>
      <c r="E33" s="380"/>
      <c r="F33" s="310"/>
      <c r="G33" s="226">
        <f>110/2</f>
        <v>55</v>
      </c>
      <c r="H33" s="257"/>
      <c r="I33" s="380"/>
      <c r="J33" s="284"/>
      <c r="L33" s="226">
        <f t="shared" si="0"/>
        <v>95</v>
      </c>
      <c r="M33" s="219"/>
      <c r="N33" s="281"/>
      <c r="O33" s="284"/>
    </row>
    <row r="34" spans="1:15" ht="15.95" customHeight="1">
      <c r="A34" s="270"/>
      <c r="B34" s="271"/>
      <c r="C34" s="271"/>
      <c r="D34" s="271"/>
      <c r="E34" s="271"/>
      <c r="F34" s="271"/>
      <c r="G34" s="271"/>
      <c r="H34" s="271"/>
      <c r="I34" s="271"/>
      <c r="J34" s="272"/>
      <c r="L34"/>
      <c r="M34"/>
      <c r="N34"/>
      <c r="O34"/>
    </row>
    <row r="35" spans="1:15" ht="27.75" customHeight="1">
      <c r="A35" s="285" t="s">
        <v>32</v>
      </c>
      <c r="B35" s="218" t="s">
        <v>33</v>
      </c>
      <c r="C35" s="226">
        <f>52/2</f>
        <v>26</v>
      </c>
      <c r="D35" s="14"/>
      <c r="E35" s="306">
        <f>SUM(C35:C40)/6</f>
        <v>41.25</v>
      </c>
      <c r="F35" s="308"/>
      <c r="G35" s="226">
        <f>129/2</f>
        <v>64.5</v>
      </c>
      <c r="H35" s="257"/>
      <c r="I35" s="306">
        <f>SUM(G35:G40)/6</f>
        <v>42.083333333333336</v>
      </c>
      <c r="J35" s="374"/>
      <c r="L35" s="226">
        <f t="shared" ref="L35:L40" si="1">C35+G35</f>
        <v>90.5</v>
      </c>
      <c r="M35" s="254"/>
      <c r="N35" s="279">
        <f>E35+I35</f>
        <v>83.333333333333343</v>
      </c>
      <c r="O35" s="282"/>
    </row>
    <row r="36" spans="1:15" ht="15.95" customHeight="1">
      <c r="A36" s="286"/>
      <c r="B36" s="218" t="s">
        <v>34</v>
      </c>
      <c r="C36" s="226">
        <f>83/2</f>
        <v>41.5</v>
      </c>
      <c r="D36" s="219"/>
      <c r="E36" s="306"/>
      <c r="F36" s="309"/>
      <c r="G36" s="226">
        <f>96/2</f>
        <v>48</v>
      </c>
      <c r="H36" s="254"/>
      <c r="I36" s="306"/>
      <c r="J36" s="375"/>
      <c r="L36" s="226">
        <f t="shared" si="1"/>
        <v>89.5</v>
      </c>
      <c r="M36" s="219"/>
      <c r="N36" s="280"/>
      <c r="O36" s="283"/>
    </row>
    <row r="37" spans="1:15" ht="15.95" customHeight="1">
      <c r="A37" s="286"/>
      <c r="B37" s="218" t="s">
        <v>35</v>
      </c>
      <c r="C37" s="226">
        <f>167/2</f>
        <v>83.5</v>
      </c>
      <c r="D37" s="224"/>
      <c r="E37" s="306"/>
      <c r="F37" s="309"/>
      <c r="G37" s="226">
        <f>78/2</f>
        <v>39</v>
      </c>
      <c r="H37" s="254"/>
      <c r="I37" s="306"/>
      <c r="J37" s="375"/>
      <c r="L37" s="226">
        <f t="shared" si="1"/>
        <v>122.5</v>
      </c>
      <c r="M37" s="224"/>
      <c r="N37" s="280"/>
      <c r="O37" s="283"/>
    </row>
    <row r="38" spans="1:15" ht="27.75" customHeight="1">
      <c r="A38" s="286"/>
      <c r="B38" s="218" t="s">
        <v>36</v>
      </c>
      <c r="C38" s="226">
        <f>29/2</f>
        <v>14.5</v>
      </c>
      <c r="D38" s="14"/>
      <c r="E38" s="306"/>
      <c r="F38" s="309"/>
      <c r="G38" s="226">
        <f>40/2</f>
        <v>20</v>
      </c>
      <c r="H38" s="14"/>
      <c r="I38" s="306"/>
      <c r="J38" s="375"/>
      <c r="L38" s="226">
        <v>33</v>
      </c>
      <c r="M38" s="14"/>
      <c r="N38" s="280"/>
      <c r="O38" s="283"/>
    </row>
    <row r="39" spans="1:15" ht="27" customHeight="1">
      <c r="A39" s="286"/>
      <c r="B39" s="218" t="s">
        <v>37</v>
      </c>
      <c r="C39" s="226">
        <f>122/2</f>
        <v>61</v>
      </c>
      <c r="D39" s="224"/>
      <c r="E39" s="306"/>
      <c r="F39" s="309"/>
      <c r="G39" s="226">
        <f>88/2</f>
        <v>44</v>
      </c>
      <c r="H39" s="254"/>
      <c r="I39" s="306"/>
      <c r="J39" s="375"/>
      <c r="L39" s="226">
        <f t="shared" si="1"/>
        <v>105</v>
      </c>
      <c r="M39" s="224"/>
      <c r="N39" s="280"/>
      <c r="O39" s="283"/>
    </row>
    <row r="40" spans="1:15" ht="15.95" customHeight="1">
      <c r="A40" s="286"/>
      <c r="B40" s="218" t="s">
        <v>38</v>
      </c>
      <c r="C40" s="226">
        <f>42/2</f>
        <v>21</v>
      </c>
      <c r="D40" s="14"/>
      <c r="E40" s="306"/>
      <c r="F40" s="310"/>
      <c r="G40" s="226">
        <f>74/2</f>
        <v>37</v>
      </c>
      <c r="H40" s="14"/>
      <c r="I40" s="306"/>
      <c r="J40" s="376"/>
      <c r="L40" s="226">
        <f t="shared" si="1"/>
        <v>58</v>
      </c>
      <c r="M40" s="254"/>
      <c r="N40" s="281"/>
      <c r="O40" s="284"/>
    </row>
    <row r="41" spans="1:15" ht="15.95" customHeight="1">
      <c r="A41" s="270"/>
      <c r="B41" s="271"/>
      <c r="C41" s="271"/>
      <c r="D41" s="271"/>
      <c r="E41" s="271"/>
      <c r="F41" s="271"/>
      <c r="G41" s="271"/>
      <c r="H41" s="271"/>
      <c r="I41" s="271"/>
      <c r="J41" s="272"/>
      <c r="L41"/>
      <c r="M41"/>
      <c r="N41"/>
      <c r="O41"/>
    </row>
    <row r="42" spans="1:15" ht="27.75" customHeight="1">
      <c r="A42" s="276" t="s">
        <v>39</v>
      </c>
      <c r="B42" s="218" t="s">
        <v>40</v>
      </c>
      <c r="C42" s="226">
        <f>89/2</f>
        <v>44.5</v>
      </c>
      <c r="D42" s="219"/>
      <c r="E42" s="291">
        <f>SUM(C42:C51)/8</f>
        <v>52.5625</v>
      </c>
      <c r="F42" s="308"/>
      <c r="G42" s="226">
        <f>103/2</f>
        <v>51.5</v>
      </c>
      <c r="H42" s="257"/>
      <c r="I42" s="381">
        <f>SUM(G42:G51)/8</f>
        <v>47.1875</v>
      </c>
      <c r="J42" s="282"/>
      <c r="L42" s="226">
        <f t="shared" ref="L42:L51" si="2">C42+G42</f>
        <v>96</v>
      </c>
      <c r="M42" s="219"/>
      <c r="N42" s="279">
        <f>E42+I42</f>
        <v>99.75</v>
      </c>
      <c r="O42" s="282"/>
    </row>
    <row r="43" spans="1:15" ht="15.95" customHeight="1">
      <c r="A43" s="277"/>
      <c r="B43" s="218" t="s">
        <v>41</v>
      </c>
      <c r="C43" s="226">
        <f>100/2</f>
        <v>50</v>
      </c>
      <c r="D43" s="224"/>
      <c r="E43" s="291"/>
      <c r="F43" s="309"/>
      <c r="G43" s="226">
        <f>100/2</f>
        <v>50</v>
      </c>
      <c r="H43" s="257"/>
      <c r="I43" s="381"/>
      <c r="J43" s="283"/>
      <c r="L43" s="226">
        <f t="shared" si="2"/>
        <v>100</v>
      </c>
      <c r="M43" s="224"/>
      <c r="N43" s="280"/>
      <c r="O43" s="283"/>
    </row>
    <row r="44" spans="1:15" ht="26.25" customHeight="1">
      <c r="A44" s="277"/>
      <c r="B44" s="218" t="s">
        <v>42</v>
      </c>
      <c r="C44" s="226">
        <f>117/2</f>
        <v>58.5</v>
      </c>
      <c r="D44" s="224"/>
      <c r="E44" s="291"/>
      <c r="F44" s="309"/>
      <c r="G44" s="226">
        <v>50</v>
      </c>
      <c r="H44" s="261"/>
      <c r="I44" s="381"/>
      <c r="J44" s="283"/>
      <c r="L44" s="226">
        <f t="shared" si="2"/>
        <v>108.5</v>
      </c>
      <c r="M44" s="261"/>
      <c r="N44" s="280"/>
      <c r="O44" s="283"/>
    </row>
    <row r="45" spans="1:15" ht="15.95" customHeight="1">
      <c r="A45" s="277"/>
      <c r="B45" s="218" t="s">
        <v>43</v>
      </c>
      <c r="C45" s="226">
        <f>100/2</f>
        <v>50</v>
      </c>
      <c r="D45" s="224"/>
      <c r="E45" s="291"/>
      <c r="F45" s="309"/>
      <c r="G45" s="226">
        <f>50/2</f>
        <v>25</v>
      </c>
      <c r="H45" s="14"/>
      <c r="I45" s="381"/>
      <c r="J45" s="283"/>
      <c r="L45" s="226">
        <f t="shared" si="2"/>
        <v>75</v>
      </c>
      <c r="M45" s="219"/>
      <c r="N45" s="280"/>
      <c r="O45" s="283"/>
    </row>
    <row r="46" spans="1:15" ht="27" customHeight="1">
      <c r="A46" s="277"/>
      <c r="B46" s="218" t="s">
        <v>44</v>
      </c>
      <c r="C46" s="226">
        <f>90/2</f>
        <v>45</v>
      </c>
      <c r="D46" s="219"/>
      <c r="E46" s="291"/>
      <c r="F46" s="309"/>
      <c r="G46" s="226">
        <f>100/2</f>
        <v>50</v>
      </c>
      <c r="H46" s="257"/>
      <c r="I46" s="381"/>
      <c r="J46" s="283"/>
      <c r="L46" s="226">
        <f t="shared" si="2"/>
        <v>95</v>
      </c>
      <c r="M46" s="219"/>
      <c r="N46" s="280"/>
      <c r="O46" s="283"/>
    </row>
    <row r="47" spans="1:15" ht="29.25" customHeight="1">
      <c r="A47" s="277"/>
      <c r="B47" s="218" t="s">
        <v>45</v>
      </c>
      <c r="C47" s="226">
        <f>70/2</f>
        <v>35</v>
      </c>
      <c r="D47" s="219"/>
      <c r="E47" s="291"/>
      <c r="F47" s="309"/>
      <c r="G47" s="226">
        <f>77/2</f>
        <v>38.5</v>
      </c>
      <c r="H47" s="260"/>
      <c r="I47" s="381"/>
      <c r="J47" s="283"/>
      <c r="L47" s="226">
        <f t="shared" si="2"/>
        <v>73.5</v>
      </c>
      <c r="M47" s="219"/>
      <c r="N47" s="280"/>
      <c r="O47" s="283"/>
    </row>
    <row r="48" spans="1:15" ht="30" customHeight="1">
      <c r="A48" s="277"/>
      <c r="B48" s="218" t="s">
        <v>46</v>
      </c>
      <c r="C48" s="226">
        <f>100/2</f>
        <v>50</v>
      </c>
      <c r="D48" s="261"/>
      <c r="E48" s="291"/>
      <c r="F48" s="309"/>
      <c r="G48" s="226">
        <f>48/2</f>
        <v>24</v>
      </c>
      <c r="H48" s="14"/>
      <c r="I48" s="381"/>
      <c r="J48" s="283"/>
      <c r="L48" s="226">
        <f t="shared" si="2"/>
        <v>74</v>
      </c>
      <c r="M48" s="254"/>
      <c r="N48" s="280"/>
      <c r="O48" s="283"/>
    </row>
    <row r="49" spans="1:15" ht="15.95" customHeight="1">
      <c r="A49" s="277"/>
      <c r="B49" s="218" t="s">
        <v>47</v>
      </c>
      <c r="C49" s="226">
        <v>0</v>
      </c>
      <c r="D49" s="14"/>
      <c r="E49" s="291"/>
      <c r="F49" s="309"/>
      <c r="G49" s="226">
        <v>1</v>
      </c>
      <c r="H49" s="14"/>
      <c r="I49" s="381"/>
      <c r="J49" s="283"/>
      <c r="L49" s="226">
        <f t="shared" si="2"/>
        <v>1</v>
      </c>
      <c r="M49" s="14"/>
      <c r="N49" s="280"/>
      <c r="O49" s="283"/>
    </row>
    <row r="50" spans="1:15" ht="25.5" customHeight="1">
      <c r="A50" s="277"/>
      <c r="B50" s="218" t="s">
        <v>48</v>
      </c>
      <c r="C50" s="226">
        <f>75/2</f>
        <v>37.5</v>
      </c>
      <c r="D50" s="219"/>
      <c r="E50" s="291"/>
      <c r="F50" s="309"/>
      <c r="G50" s="226">
        <f>75/2</f>
        <v>37.5</v>
      </c>
      <c r="H50" s="260"/>
      <c r="I50" s="381"/>
      <c r="J50" s="283"/>
      <c r="L50" s="226">
        <f t="shared" si="2"/>
        <v>75</v>
      </c>
      <c r="M50" s="219"/>
      <c r="N50" s="280"/>
      <c r="O50" s="283"/>
    </row>
    <row r="51" spans="1:15" ht="15.95" customHeight="1">
      <c r="A51" s="278"/>
      <c r="B51" s="218" t="s">
        <v>49</v>
      </c>
      <c r="C51" s="226">
        <f>100/2</f>
        <v>50</v>
      </c>
      <c r="D51" s="224"/>
      <c r="E51" s="291"/>
      <c r="F51" s="310"/>
      <c r="G51" s="226">
        <f>100/2</f>
        <v>50</v>
      </c>
      <c r="H51" s="257"/>
      <c r="I51" s="381"/>
      <c r="J51" s="284"/>
      <c r="L51" s="226">
        <f t="shared" si="2"/>
        <v>100</v>
      </c>
      <c r="M51" s="224"/>
      <c r="N51" s="281"/>
      <c r="O51" s="284"/>
    </row>
    <row r="52" spans="1:15" ht="15.95" customHeight="1">
      <c r="A52" s="270"/>
      <c r="B52" s="271"/>
      <c r="C52" s="271"/>
      <c r="D52" s="271"/>
      <c r="E52" s="271"/>
      <c r="F52" s="271"/>
      <c r="G52" s="271"/>
      <c r="H52" s="271"/>
      <c r="I52" s="307"/>
      <c r="J52" s="307"/>
      <c r="K52" s="84"/>
      <c r="L52"/>
      <c r="M52"/>
      <c r="N52"/>
      <c r="O52"/>
    </row>
    <row r="53" spans="1:15" ht="15.95" customHeight="1">
      <c r="A53" s="273" t="s">
        <v>132</v>
      </c>
      <c r="B53" s="274"/>
      <c r="C53" s="274"/>
      <c r="D53" s="274"/>
      <c r="E53" s="274"/>
      <c r="F53" s="274"/>
      <c r="G53" s="274"/>
      <c r="H53" s="275"/>
      <c r="I53" s="311"/>
      <c r="J53" s="311"/>
      <c r="K53" s="311"/>
      <c r="L53" s="311"/>
      <c r="M53" s="311"/>
      <c r="N53" s="221">
        <f>SUM(N7+N9+N14+N17+N22+N35+N42)/7</f>
        <v>96.69047619047619</v>
      </c>
      <c r="O53" s="7"/>
    </row>
    <row r="55" spans="1:15">
      <c r="A55" s="2" t="s">
        <v>102</v>
      </c>
      <c r="B55" s="166">
        <f>(E7+E9+E14+E17+E22+E35+E42)/7</f>
        <v>44.627976190476197</v>
      </c>
    </row>
  </sheetData>
  <mergeCells count="57">
    <mergeCell ref="A52:J52"/>
    <mergeCell ref="A53:H53"/>
    <mergeCell ref="I53:M53"/>
    <mergeCell ref="N35:N40"/>
    <mergeCell ref="O35:O40"/>
    <mergeCell ref="A41:J41"/>
    <mergeCell ref="A42:A51"/>
    <mergeCell ref="E42:E51"/>
    <mergeCell ref="F42:F51"/>
    <mergeCell ref="I42:I51"/>
    <mergeCell ref="J42:J51"/>
    <mergeCell ref="N42:N51"/>
    <mergeCell ref="O42:O51"/>
    <mergeCell ref="A34:J34"/>
    <mergeCell ref="A35:A40"/>
    <mergeCell ref="E35:E40"/>
    <mergeCell ref="F35:F40"/>
    <mergeCell ref="I35:I40"/>
    <mergeCell ref="J35:J40"/>
    <mergeCell ref="N17:N20"/>
    <mergeCell ref="O17:O20"/>
    <mergeCell ref="A21:J21"/>
    <mergeCell ref="A22:A33"/>
    <mergeCell ref="E22:E33"/>
    <mergeCell ref="F22:F33"/>
    <mergeCell ref="I22:I33"/>
    <mergeCell ref="J22:J33"/>
    <mergeCell ref="N22:N33"/>
    <mergeCell ref="O22:O33"/>
    <mergeCell ref="A16:J16"/>
    <mergeCell ref="A17:A20"/>
    <mergeCell ref="E17:E20"/>
    <mergeCell ref="F17:F20"/>
    <mergeCell ref="I17:I20"/>
    <mergeCell ref="J17:J20"/>
    <mergeCell ref="N14:N15"/>
    <mergeCell ref="O14:O15"/>
    <mergeCell ref="A8:J8"/>
    <mergeCell ref="A9:A12"/>
    <mergeCell ref="E9:E12"/>
    <mergeCell ref="F9:F12"/>
    <mergeCell ref="I9:I12"/>
    <mergeCell ref="A13:J13"/>
    <mergeCell ref="A14:A15"/>
    <mergeCell ref="E14:E15"/>
    <mergeCell ref="F14:F15"/>
    <mergeCell ref="I14:I15"/>
    <mergeCell ref="J14:J15"/>
    <mergeCell ref="L4:O4"/>
    <mergeCell ref="J9:J12"/>
    <mergeCell ref="A1:J1"/>
    <mergeCell ref="A2:J2"/>
    <mergeCell ref="C4:F4"/>
    <mergeCell ref="G4:J4"/>
    <mergeCell ref="N9:N12"/>
    <mergeCell ref="O9:O12"/>
    <mergeCell ref="A6:J6"/>
  </mergeCells>
  <pageMargins left="0.70866141732283472" right="0.70866141732283472" top="0.74803149606299213" bottom="0.74803149606299213" header="0.31496062992125984" footer="0.31496062992125984"/>
  <pageSetup scale="95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62"/>
  <sheetViews>
    <sheetView zoomScale="70" zoomScaleNormal="70" workbookViewId="0">
      <pane xSplit="2" ySplit="6" topLeftCell="H19" activePane="bottomRight" state="frozen"/>
      <selection pane="topRight" activeCell="C1" sqref="C1"/>
      <selection pane="bottomLeft" activeCell="A7" sqref="A7"/>
      <selection pane="bottomRight" activeCell="AJ53" sqref="AJ53"/>
    </sheetView>
  </sheetViews>
  <sheetFormatPr baseColWidth="10" defaultRowHeight="15"/>
  <cols>
    <col min="1" max="1" width="16.28515625" customWidth="1"/>
    <col min="2" max="2" width="25.85546875" customWidth="1"/>
    <col min="3" max="3" width="15.42578125" style="98" customWidth="1"/>
    <col min="4" max="4" width="15.28515625" style="98" customWidth="1"/>
    <col min="5" max="5" width="16.140625" style="95" customWidth="1"/>
    <col min="6" max="6" width="8.85546875" style="1" customWidth="1"/>
    <col min="7" max="7" width="15.28515625" customWidth="1"/>
    <col min="8" max="8" width="7.85546875" style="1" customWidth="1"/>
    <col min="9" max="9" width="1.7109375" customWidth="1"/>
    <col min="10" max="10" width="16.42578125" customWidth="1"/>
    <col min="11" max="11" width="15.28515625" customWidth="1"/>
    <col min="12" max="12" width="15.5703125" customWidth="1"/>
    <col min="13" max="13" width="6.85546875" style="1" customWidth="1"/>
    <col min="14" max="14" width="15.28515625" customWidth="1"/>
    <col min="15" max="15" width="8" style="1" customWidth="1"/>
    <col min="16" max="16" width="1.85546875" style="1" customWidth="1"/>
    <col min="17" max="17" width="16.42578125" style="1" customWidth="1"/>
    <col min="18" max="18" width="15.42578125" style="1" customWidth="1"/>
    <col min="19" max="19" width="16.28515625" style="1" customWidth="1"/>
    <col min="20" max="20" width="6.85546875" style="1" customWidth="1"/>
    <col min="21" max="21" width="16.28515625" style="1" customWidth="1"/>
    <col min="22" max="22" width="8.28515625" style="1" customWidth="1"/>
    <col min="23" max="23" width="1.85546875" customWidth="1"/>
    <col min="24" max="24" width="16.42578125" customWidth="1"/>
    <col min="25" max="26" width="16.28515625" customWidth="1"/>
    <col min="27" max="27" width="7.28515625" customWidth="1"/>
    <col min="28" max="28" width="15" customWidth="1"/>
    <col min="29" max="29" width="8.28515625" customWidth="1"/>
    <col min="30" max="30" width="2.28515625" customWidth="1"/>
    <col min="31" max="31" width="16.7109375" customWidth="1"/>
    <col min="32" max="32" width="16.5703125" customWidth="1"/>
    <col min="33" max="33" width="16.140625" customWidth="1"/>
    <col min="34" max="34" width="10.42578125" style="1" customWidth="1"/>
    <col min="35" max="35" width="15.85546875" customWidth="1"/>
    <col min="36" max="36" width="7.7109375" style="1" customWidth="1"/>
  </cols>
  <sheetData>
    <row r="1" spans="1:36" s="192" customFormat="1">
      <c r="A1" s="294" t="s">
        <v>57</v>
      </c>
      <c r="B1" s="294"/>
      <c r="C1" s="294"/>
      <c r="D1" s="294"/>
      <c r="E1" s="294"/>
      <c r="F1" s="294"/>
      <c r="G1" s="294"/>
      <c r="H1" s="294"/>
      <c r="I1" s="191"/>
      <c r="J1" s="294" t="s">
        <v>57</v>
      </c>
      <c r="K1" s="294"/>
      <c r="L1" s="294"/>
      <c r="M1" s="294"/>
      <c r="N1" s="294"/>
      <c r="O1" s="294"/>
      <c r="P1" s="191"/>
      <c r="Q1" s="294" t="s">
        <v>57</v>
      </c>
      <c r="R1" s="294"/>
      <c r="S1" s="294"/>
      <c r="T1" s="294"/>
      <c r="U1" s="294"/>
      <c r="V1" s="294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</row>
    <row r="2" spans="1:36" s="192" customFormat="1">
      <c r="A2" s="294" t="s">
        <v>72</v>
      </c>
      <c r="B2" s="294"/>
      <c r="C2" s="294"/>
      <c r="D2" s="294"/>
      <c r="E2" s="294"/>
      <c r="F2" s="294"/>
      <c r="G2" s="294"/>
      <c r="H2" s="294"/>
      <c r="I2" s="191"/>
      <c r="J2" s="294" t="s">
        <v>72</v>
      </c>
      <c r="K2" s="294"/>
      <c r="L2" s="294"/>
      <c r="M2" s="294"/>
      <c r="N2" s="294"/>
      <c r="O2" s="294"/>
      <c r="P2" s="191"/>
      <c r="Q2" s="294" t="s">
        <v>72</v>
      </c>
      <c r="R2" s="294"/>
      <c r="S2" s="294"/>
      <c r="T2" s="294"/>
      <c r="U2" s="294"/>
      <c r="V2" s="294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</row>
    <row r="3" spans="1:36" s="192" customFormat="1">
      <c r="A3" s="188"/>
      <c r="B3" s="184"/>
      <c r="C3" s="193"/>
      <c r="D3" s="193"/>
      <c r="E3" s="193"/>
      <c r="F3" s="184"/>
      <c r="G3" s="184"/>
      <c r="H3" s="184"/>
      <c r="I3" s="184"/>
      <c r="J3" s="184"/>
      <c r="K3" s="184"/>
      <c r="L3" s="184"/>
      <c r="M3" s="184"/>
      <c r="N3" s="184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6"/>
      <c r="AI3" s="187"/>
      <c r="AJ3" s="188"/>
    </row>
    <row r="4" spans="1:36">
      <c r="A4" s="342" t="s">
        <v>0</v>
      </c>
      <c r="B4" s="342" t="s">
        <v>1</v>
      </c>
      <c r="C4" s="412">
        <v>2016</v>
      </c>
      <c r="D4" s="413"/>
      <c r="E4" s="413"/>
      <c r="F4" s="413"/>
      <c r="G4" s="413"/>
      <c r="H4" s="414"/>
      <c r="I4" s="52"/>
      <c r="J4" s="412">
        <v>2017</v>
      </c>
      <c r="K4" s="413"/>
      <c r="L4" s="413"/>
      <c r="M4" s="413"/>
      <c r="N4" s="413"/>
      <c r="O4" s="414"/>
      <c r="P4" s="62"/>
      <c r="Q4" s="412">
        <v>2018</v>
      </c>
      <c r="R4" s="413"/>
      <c r="S4" s="413"/>
      <c r="T4" s="413"/>
      <c r="U4" s="413"/>
      <c r="V4" s="414"/>
      <c r="W4" s="62"/>
      <c r="X4" s="412">
        <v>2019</v>
      </c>
      <c r="Y4" s="413"/>
      <c r="Z4" s="413"/>
      <c r="AA4" s="413"/>
      <c r="AB4" s="413"/>
      <c r="AC4" s="414"/>
      <c r="AD4" s="62"/>
      <c r="AE4" s="326" t="s">
        <v>127</v>
      </c>
      <c r="AF4" s="326"/>
      <c r="AG4" s="326"/>
      <c r="AH4" s="326"/>
      <c r="AI4" s="326"/>
      <c r="AJ4" s="326"/>
    </row>
    <row r="5" spans="1:36" ht="46.5" customHeight="1">
      <c r="A5" s="342"/>
      <c r="B5" s="342"/>
      <c r="C5" s="105" t="s">
        <v>128</v>
      </c>
      <c r="D5" s="105" t="s">
        <v>75</v>
      </c>
      <c r="E5" s="105" t="s">
        <v>77</v>
      </c>
      <c r="F5" s="112"/>
      <c r="G5" s="106" t="s">
        <v>74</v>
      </c>
      <c r="H5" s="112"/>
      <c r="I5" s="107"/>
      <c r="J5" s="112" t="s">
        <v>129</v>
      </c>
      <c r="K5" s="105" t="s">
        <v>75</v>
      </c>
      <c r="L5" s="105" t="s">
        <v>73</v>
      </c>
      <c r="M5" s="112"/>
      <c r="N5" s="106" t="s">
        <v>78</v>
      </c>
      <c r="O5" s="112"/>
      <c r="P5" s="108"/>
      <c r="Q5" s="112" t="s">
        <v>129</v>
      </c>
      <c r="R5" s="105" t="s">
        <v>75</v>
      </c>
      <c r="S5" s="105" t="s">
        <v>73</v>
      </c>
      <c r="T5" s="112"/>
      <c r="U5" s="106" t="s">
        <v>78</v>
      </c>
      <c r="V5" s="112"/>
      <c r="W5" s="108"/>
      <c r="X5" s="112" t="s">
        <v>129</v>
      </c>
      <c r="Y5" s="105" t="s">
        <v>75</v>
      </c>
      <c r="Z5" s="105" t="s">
        <v>73</v>
      </c>
      <c r="AA5" s="112"/>
      <c r="AB5" s="106" t="s">
        <v>78</v>
      </c>
      <c r="AC5" s="112"/>
      <c r="AD5" s="108"/>
      <c r="AE5" s="247" t="s">
        <v>130</v>
      </c>
      <c r="AF5" s="105" t="s">
        <v>75</v>
      </c>
      <c r="AG5" s="105" t="s">
        <v>73</v>
      </c>
      <c r="AH5" s="126"/>
      <c r="AI5" s="109" t="s">
        <v>76</v>
      </c>
      <c r="AJ5" s="110"/>
    </row>
    <row r="6" spans="1:36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7"/>
    </row>
    <row r="7" spans="1:36">
      <c r="A7" s="4" t="s">
        <v>3</v>
      </c>
      <c r="B7" s="73"/>
      <c r="C7" s="93">
        <v>93113451</v>
      </c>
      <c r="D7" s="93">
        <f>SUM(C7)</f>
        <v>93113451</v>
      </c>
      <c r="E7" s="93">
        <v>7500000</v>
      </c>
      <c r="F7" s="101">
        <f>E7/C7</f>
        <v>8.0546901864908857E-2</v>
      </c>
      <c r="G7" s="93">
        <v>7500000</v>
      </c>
      <c r="H7" s="102">
        <f>G7/D7</f>
        <v>8.0546901864908857E-2</v>
      </c>
      <c r="I7" s="53"/>
      <c r="J7" s="93">
        <v>104200000</v>
      </c>
      <c r="K7" s="93">
        <f>SUM(J7)</f>
        <v>104200000</v>
      </c>
      <c r="L7" s="93">
        <v>35109785</v>
      </c>
      <c r="M7" s="101">
        <f>L7/J7</f>
        <v>0.336946113243762</v>
      </c>
      <c r="N7" s="93">
        <f>L7</f>
        <v>35109785</v>
      </c>
      <c r="O7" s="177">
        <f>N7/K7</f>
        <v>0.336946113243762</v>
      </c>
      <c r="P7" s="170"/>
      <c r="Q7" s="167">
        <v>108680600</v>
      </c>
      <c r="R7" s="167">
        <f>Q7</f>
        <v>108680600</v>
      </c>
      <c r="S7" s="171">
        <v>18400000</v>
      </c>
      <c r="T7" s="101">
        <f>S7/Q7</f>
        <v>0.16930344514108314</v>
      </c>
      <c r="U7" s="171">
        <f>S7</f>
        <v>18400000</v>
      </c>
      <c r="V7" s="177">
        <f>U7/R7</f>
        <v>0.16930344514108314</v>
      </c>
      <c r="W7" s="63"/>
      <c r="X7" s="245">
        <v>114005949</v>
      </c>
      <c r="Y7" s="245">
        <f>X7</f>
        <v>114005949</v>
      </c>
      <c r="Z7" s="245">
        <v>23047923</v>
      </c>
      <c r="AA7" s="101">
        <f>Z7/Y7</f>
        <v>0.20216421337802293</v>
      </c>
      <c r="AB7" s="246">
        <f>Z7</f>
        <v>23047923</v>
      </c>
      <c r="AC7" s="177">
        <f>AB7/Y7</f>
        <v>0.20216421337802293</v>
      </c>
      <c r="AD7" s="244"/>
      <c r="AE7" s="245">
        <v>420000000</v>
      </c>
      <c r="AF7" s="245">
        <v>420000000</v>
      </c>
      <c r="AG7" s="114">
        <f>E7+L7+S7+Z7</f>
        <v>84057708</v>
      </c>
      <c r="AH7" s="113">
        <f>AG7/AF7</f>
        <v>0.20013739999999999</v>
      </c>
      <c r="AI7" s="114">
        <f>SUM(AG7)</f>
        <v>84057708</v>
      </c>
      <c r="AJ7" s="118">
        <f>AI7/AE7</f>
        <v>0.20013739999999999</v>
      </c>
    </row>
    <row r="8" spans="1:36">
      <c r="A8" s="55"/>
      <c r="B8" s="56"/>
      <c r="C8" s="97"/>
      <c r="D8" s="97"/>
      <c r="E8" s="94"/>
      <c r="F8" s="88"/>
      <c r="G8" s="56"/>
      <c r="H8" s="90"/>
      <c r="I8" s="53"/>
      <c r="J8" s="53"/>
      <c r="K8" s="53"/>
      <c r="L8" s="57"/>
      <c r="M8" s="91"/>
      <c r="N8" s="58"/>
      <c r="O8" s="92"/>
      <c r="P8" s="42"/>
      <c r="Q8" s="42"/>
      <c r="R8" s="42"/>
      <c r="S8" s="42"/>
      <c r="T8" s="91"/>
      <c r="U8" s="42"/>
      <c r="V8" s="42"/>
      <c r="W8" s="42"/>
      <c r="X8" s="392"/>
      <c r="Y8" s="392"/>
      <c r="Z8" s="392"/>
      <c r="AA8" s="392"/>
      <c r="AB8" s="392"/>
      <c r="AC8" s="392"/>
      <c r="AD8" s="42"/>
      <c r="AE8" s="42"/>
      <c r="AF8" s="42"/>
      <c r="AG8" s="42"/>
      <c r="AH8" s="53"/>
      <c r="AI8" s="59"/>
      <c r="AJ8" s="60"/>
    </row>
    <row r="9" spans="1:36" ht="20.25" customHeight="1">
      <c r="A9" s="293" t="s">
        <v>2</v>
      </c>
      <c r="B9" s="73" t="s">
        <v>4</v>
      </c>
      <c r="C9" s="93">
        <v>56600000</v>
      </c>
      <c r="D9" s="382">
        <f>SUM(C9:C12)</f>
        <v>941700000</v>
      </c>
      <c r="E9" s="93">
        <v>172633419</v>
      </c>
      <c r="F9" s="103">
        <f>E9/C9</f>
        <v>3.0500604063604242</v>
      </c>
      <c r="G9" s="385">
        <f>SUM(E9:E12)</f>
        <v>263393103</v>
      </c>
      <c r="H9" s="399">
        <f>G9/D9</f>
        <v>0.27969958904109588</v>
      </c>
      <c r="I9" s="53"/>
      <c r="J9" s="93">
        <v>109542800</v>
      </c>
      <c r="K9" s="382">
        <f>SUM(J9:J12)</f>
        <v>1031817000</v>
      </c>
      <c r="L9" s="93">
        <v>249014503</v>
      </c>
      <c r="M9" s="103">
        <f>L9/J9</f>
        <v>2.2732165235871276</v>
      </c>
      <c r="N9" s="385">
        <f>SUM(L9:L12)</f>
        <v>461460437</v>
      </c>
      <c r="O9" s="386">
        <f>N9/K9</f>
        <v>0.44723089171820196</v>
      </c>
      <c r="P9" s="170"/>
      <c r="Q9" s="167">
        <v>100902740</v>
      </c>
      <c r="R9" s="382">
        <f>Q9+Q10+Q11+Q12</f>
        <v>1062835280</v>
      </c>
      <c r="S9" s="171">
        <v>220574473</v>
      </c>
      <c r="T9" s="103">
        <f>S9/Q9</f>
        <v>2.1860107366757333</v>
      </c>
      <c r="U9" s="385">
        <f>SUM(S9:S12)</f>
        <v>445998099</v>
      </c>
      <c r="V9" s="395">
        <f>U9/R9</f>
        <v>0.41963049909295447</v>
      </c>
      <c r="W9" s="85"/>
      <c r="X9" s="245">
        <v>105846975</v>
      </c>
      <c r="Y9" s="382">
        <f>X9+X10+X11+X12</f>
        <v>1114913633</v>
      </c>
      <c r="Z9" s="245">
        <v>195969008</v>
      </c>
      <c r="AA9" s="103">
        <f>Z9/X9</f>
        <v>1.851437020283291</v>
      </c>
      <c r="AB9" s="382">
        <f>(Z9+Z10+Z11+Z12)</f>
        <v>343765133</v>
      </c>
      <c r="AC9" s="386">
        <f>AB9/Y9</f>
        <v>0.30833341958067167</v>
      </c>
      <c r="AD9" s="243"/>
      <c r="AE9" s="93">
        <v>372892515</v>
      </c>
      <c r="AF9" s="382">
        <f>SUM(AE9:AE12)</f>
        <v>4151265364</v>
      </c>
      <c r="AG9" s="114">
        <f>E9+L9+S9+Z9</f>
        <v>838191403</v>
      </c>
      <c r="AH9" s="115">
        <f>AG9/AE9</f>
        <v>2.2478096751285017</v>
      </c>
      <c r="AI9" s="382">
        <f>SUM(AG9:AG12)</f>
        <v>1514616772</v>
      </c>
      <c r="AJ9" s="416">
        <f>AI9/AF9</f>
        <v>0.3648566495254289</v>
      </c>
    </row>
    <row r="10" spans="1:36" ht="18" customHeight="1">
      <c r="A10" s="293"/>
      <c r="B10" s="73" t="s">
        <v>5</v>
      </c>
      <c r="C10" s="122">
        <v>66100000</v>
      </c>
      <c r="D10" s="383"/>
      <c r="E10" s="93">
        <v>0</v>
      </c>
      <c r="F10" s="101">
        <f>E10/C10</f>
        <v>0</v>
      </c>
      <c r="G10" s="393"/>
      <c r="H10" s="399"/>
      <c r="I10" s="53"/>
      <c r="J10" s="93">
        <v>68876200</v>
      </c>
      <c r="K10" s="383"/>
      <c r="L10" s="93">
        <v>29040000</v>
      </c>
      <c r="M10" s="101">
        <f>L10/J10</f>
        <v>0.42162604789462832</v>
      </c>
      <c r="N10" s="393"/>
      <c r="O10" s="387"/>
      <c r="P10" s="170"/>
      <c r="Q10" s="167">
        <v>71837876</v>
      </c>
      <c r="R10" s="383"/>
      <c r="S10" s="171">
        <v>46840800</v>
      </c>
      <c r="T10" s="104">
        <f>S10/Q10</f>
        <v>0.65203486806876088</v>
      </c>
      <c r="U10" s="393"/>
      <c r="V10" s="396"/>
      <c r="W10" s="85"/>
      <c r="X10" s="245">
        <v>75357932</v>
      </c>
      <c r="Y10" s="383"/>
      <c r="Z10" s="245">
        <v>6849755</v>
      </c>
      <c r="AA10" s="101">
        <f>Z10/X10</f>
        <v>9.0896270879620211E-2</v>
      </c>
      <c r="AB10" s="383"/>
      <c r="AC10" s="387"/>
      <c r="AD10" s="243"/>
      <c r="AE10" s="93">
        <v>282172009</v>
      </c>
      <c r="AF10" s="383"/>
      <c r="AG10" s="114">
        <f>E10+L10+S10+Z10</f>
        <v>82730555</v>
      </c>
      <c r="AH10" s="116">
        <f>AG10/AE10</f>
        <v>0.29319192677258077</v>
      </c>
      <c r="AI10" s="383"/>
      <c r="AJ10" s="417"/>
    </row>
    <row r="11" spans="1:36" ht="18" customHeight="1">
      <c r="A11" s="293"/>
      <c r="B11" s="73" t="s">
        <v>6</v>
      </c>
      <c r="C11" s="122">
        <v>14000000</v>
      </c>
      <c r="D11" s="383"/>
      <c r="E11" s="93">
        <v>24000000</v>
      </c>
      <c r="F11" s="103">
        <f>E11/C11</f>
        <v>1.7142857142857142</v>
      </c>
      <c r="G11" s="393"/>
      <c r="H11" s="399"/>
      <c r="I11" s="53"/>
      <c r="J11" s="93">
        <v>14588000</v>
      </c>
      <c r="K11" s="383"/>
      <c r="L11" s="93">
        <v>22470000</v>
      </c>
      <c r="M11" s="103">
        <f>L11/J11</f>
        <v>1.5403071017274472</v>
      </c>
      <c r="N11" s="393"/>
      <c r="O11" s="387"/>
      <c r="P11" s="170"/>
      <c r="Q11" s="167">
        <v>15215834</v>
      </c>
      <c r="R11" s="383"/>
      <c r="S11" s="171">
        <v>42068856</v>
      </c>
      <c r="T11" s="103">
        <f>S11/Q11</f>
        <v>2.7648077653844014</v>
      </c>
      <c r="U11" s="393"/>
      <c r="V11" s="396"/>
      <c r="W11" s="85"/>
      <c r="X11" s="245">
        <v>15960833</v>
      </c>
      <c r="Y11" s="383"/>
      <c r="Z11" s="245">
        <v>90701919</v>
      </c>
      <c r="AA11" s="103">
        <f>Z11/X11</f>
        <v>5.6827810302883313</v>
      </c>
      <c r="AB11" s="383"/>
      <c r="AC11" s="387"/>
      <c r="AD11" s="243"/>
      <c r="AE11" s="93">
        <v>59764117</v>
      </c>
      <c r="AF11" s="383"/>
      <c r="AG11" s="114">
        <f>E11+L11+S11+Z11</f>
        <v>179240775</v>
      </c>
      <c r="AH11" s="115">
        <f>AG11/AE11</f>
        <v>2.999137007244665</v>
      </c>
      <c r="AI11" s="383"/>
      <c r="AJ11" s="417"/>
    </row>
    <row r="12" spans="1:36" ht="46.5" customHeight="1">
      <c r="A12" s="293"/>
      <c r="B12" s="73" t="s">
        <v>7</v>
      </c>
      <c r="C12" s="122">
        <v>805000000</v>
      </c>
      <c r="D12" s="384"/>
      <c r="E12" s="93">
        <v>66759684</v>
      </c>
      <c r="F12" s="101">
        <f>E12/C12</f>
        <v>8.2931284472049685E-2</v>
      </c>
      <c r="G12" s="393"/>
      <c r="H12" s="399"/>
      <c r="I12" s="53"/>
      <c r="J12" s="93">
        <v>838810000</v>
      </c>
      <c r="K12" s="384"/>
      <c r="L12" s="93">
        <v>160935934</v>
      </c>
      <c r="M12" s="101">
        <f>L12/J12</f>
        <v>0.19186220240578916</v>
      </c>
      <c r="N12" s="393"/>
      <c r="O12" s="388"/>
      <c r="P12" s="170"/>
      <c r="Q12" s="167">
        <v>874878830</v>
      </c>
      <c r="R12" s="384"/>
      <c r="S12" s="171">
        <v>136513970</v>
      </c>
      <c r="T12" s="101">
        <f>S12/Q12</f>
        <v>0.15603757379750519</v>
      </c>
      <c r="U12" s="393"/>
      <c r="V12" s="397"/>
      <c r="W12" s="85"/>
      <c r="X12" s="245">
        <v>917747893</v>
      </c>
      <c r="Y12" s="384"/>
      <c r="Z12" s="245">
        <v>50244451</v>
      </c>
      <c r="AA12" s="101">
        <f>Z12/X12</f>
        <v>5.4747552550360366E-2</v>
      </c>
      <c r="AB12" s="384"/>
      <c r="AC12" s="388"/>
      <c r="AD12" s="243"/>
      <c r="AE12" s="93">
        <v>3436436723</v>
      </c>
      <c r="AF12" s="384"/>
      <c r="AG12" s="114">
        <f>E12+L12+S12+Z12</f>
        <v>414454039</v>
      </c>
      <c r="AH12" s="116">
        <f>AG12/AE12</f>
        <v>0.12060575311224783</v>
      </c>
      <c r="AI12" s="384"/>
      <c r="AJ12" s="418"/>
    </row>
    <row r="13" spans="1:36">
      <c r="A13" s="362" t="s">
        <v>124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4"/>
    </row>
    <row r="14" spans="1:36" ht="18.75" customHeight="1">
      <c r="A14" s="293" t="s">
        <v>11</v>
      </c>
      <c r="B14" s="73" t="s">
        <v>12</v>
      </c>
      <c r="C14" s="122">
        <v>10000000</v>
      </c>
      <c r="D14" s="382">
        <f>SUM(C14:C15)</f>
        <v>34000000</v>
      </c>
      <c r="E14" s="93">
        <v>7500000</v>
      </c>
      <c r="F14" s="104">
        <f>E14/C14</f>
        <v>0.75</v>
      </c>
      <c r="G14" s="385">
        <f>SUM(E14:E15)</f>
        <v>29040000</v>
      </c>
      <c r="H14" s="410">
        <f>G14/D14</f>
        <v>0.85411764705882354</v>
      </c>
      <c r="I14" s="53"/>
      <c r="J14" s="93">
        <v>10420000</v>
      </c>
      <c r="K14" s="382">
        <f>SUM(J14:J15)</f>
        <v>35428000</v>
      </c>
      <c r="L14" s="93">
        <v>34000000</v>
      </c>
      <c r="M14" s="103">
        <f>L14/J14</f>
        <v>3.2629558541266794</v>
      </c>
      <c r="N14" s="385">
        <f>SUM(L14:L15)</f>
        <v>36255000</v>
      </c>
      <c r="O14" s="411">
        <f>N14/K14</f>
        <v>1.0233431184373942</v>
      </c>
      <c r="P14" s="170"/>
      <c r="Q14" s="167">
        <v>10868060</v>
      </c>
      <c r="R14" s="382">
        <f>Q14+Q15</f>
        <v>36951404</v>
      </c>
      <c r="S14" s="171">
        <v>18400000</v>
      </c>
      <c r="T14" s="103">
        <f>S14/Q14</f>
        <v>1.6930344514108313</v>
      </c>
      <c r="U14" s="385">
        <f>SUM(S14:S15)</f>
        <v>18400000</v>
      </c>
      <c r="V14" s="415">
        <f>U14/R14</f>
        <v>0.4979513092384798</v>
      </c>
      <c r="W14" s="85"/>
      <c r="X14" s="245">
        <v>11400595</v>
      </c>
      <c r="Y14" s="382">
        <f>X14+X15</f>
        <v>38762023</v>
      </c>
      <c r="Z14" s="245">
        <v>18400000</v>
      </c>
      <c r="AA14" s="103">
        <f>Z14/X14</f>
        <v>1.6139508508108569</v>
      </c>
      <c r="AB14" s="385">
        <f>(Z14+Z15/2)</f>
        <v>18400000</v>
      </c>
      <c r="AC14" s="394">
        <f>AB14/Y14</f>
        <v>0.47469142670907555</v>
      </c>
      <c r="AD14" s="243"/>
      <c r="AE14" s="93">
        <v>42688655</v>
      </c>
      <c r="AF14" s="382">
        <f>SUM(AE14:AE15)</f>
        <v>145141427</v>
      </c>
      <c r="AG14" s="114">
        <f>E14+L14+S14+Z14</f>
        <v>78300000</v>
      </c>
      <c r="AH14" s="115">
        <f>AG14/AE14</f>
        <v>1.8342109865021514</v>
      </c>
      <c r="AI14" s="382">
        <f>SUM(AG14:AG15)</f>
        <v>102095000</v>
      </c>
      <c r="AJ14" s="410">
        <f>AI14/AF14</f>
        <v>0.70341736408585809</v>
      </c>
    </row>
    <row r="15" spans="1:36" ht="20.25" customHeight="1">
      <c r="A15" s="293"/>
      <c r="B15" s="73" t="s">
        <v>13</v>
      </c>
      <c r="C15" s="122">
        <v>24000000</v>
      </c>
      <c r="D15" s="384"/>
      <c r="E15" s="93">
        <v>21540000</v>
      </c>
      <c r="F15" s="104">
        <f>E15/C15</f>
        <v>0.89749999999999996</v>
      </c>
      <c r="G15" s="393"/>
      <c r="H15" s="410"/>
      <c r="I15" s="53"/>
      <c r="J15" s="93">
        <v>25008000</v>
      </c>
      <c r="K15" s="384"/>
      <c r="L15" s="167">
        <v>2255000</v>
      </c>
      <c r="M15" s="101">
        <f>L15/J15</f>
        <v>9.0171145233525277E-2</v>
      </c>
      <c r="N15" s="393"/>
      <c r="O15" s="411"/>
      <c r="P15" s="170"/>
      <c r="Q15" s="167">
        <v>26083344</v>
      </c>
      <c r="R15" s="384"/>
      <c r="S15" s="171"/>
      <c r="T15" s="101">
        <f>S15/Q15</f>
        <v>0</v>
      </c>
      <c r="U15" s="393"/>
      <c r="V15" s="415"/>
      <c r="W15" s="85"/>
      <c r="X15" s="245">
        <v>27361428</v>
      </c>
      <c r="Y15" s="384"/>
      <c r="Z15" s="245"/>
      <c r="AA15" s="101">
        <f>Z15/X15</f>
        <v>0</v>
      </c>
      <c r="AB15" s="393"/>
      <c r="AC15" s="394"/>
      <c r="AD15" s="243"/>
      <c r="AE15" s="93">
        <v>102452772</v>
      </c>
      <c r="AF15" s="384"/>
      <c r="AG15" s="114">
        <f>E15+L15+S15+Z15</f>
        <v>23795000</v>
      </c>
      <c r="AH15" s="116">
        <f>AG15/AE15</f>
        <v>0.23225335474573591</v>
      </c>
      <c r="AI15" s="384"/>
      <c r="AJ15" s="410"/>
    </row>
    <row r="16" spans="1:36">
      <c r="A16" s="362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4"/>
    </row>
    <row r="17" spans="1:36" ht="28.5" customHeight="1">
      <c r="A17" s="293" t="s">
        <v>14</v>
      </c>
      <c r="B17" s="73" t="s">
        <v>15</v>
      </c>
      <c r="C17" s="122">
        <v>32800000</v>
      </c>
      <c r="D17" s="382">
        <f>SUM(C17:C20)</f>
        <v>493300000</v>
      </c>
      <c r="E17" s="93">
        <v>15933000</v>
      </c>
      <c r="F17" s="101">
        <f>E17/C17</f>
        <v>0.48576219512195123</v>
      </c>
      <c r="G17" s="382">
        <f>SUM(E17:E20)</f>
        <v>270102769</v>
      </c>
      <c r="H17" s="400">
        <f>G17/D17</f>
        <v>0.5475426089600649</v>
      </c>
      <c r="I17" s="53"/>
      <c r="J17" s="93">
        <v>36295000</v>
      </c>
      <c r="K17" s="382">
        <f>SUM(J17:J20)</f>
        <v>516136000</v>
      </c>
      <c r="L17" s="93">
        <v>55656167</v>
      </c>
      <c r="M17" s="103">
        <f>L17/J17</f>
        <v>1.5334389585342334</v>
      </c>
      <c r="N17" s="382">
        <f>SUM(L17:L20)</f>
        <v>501759529</v>
      </c>
      <c r="O17" s="415">
        <f>N17/K17</f>
        <v>0.97214596346699322</v>
      </c>
      <c r="P17" s="170"/>
      <c r="Q17" s="167">
        <v>39622490</v>
      </c>
      <c r="R17" s="382">
        <f>Q17+Q18+Q19+Q20</f>
        <v>540096653</v>
      </c>
      <c r="S17" s="171">
        <v>58362928</v>
      </c>
      <c r="T17" s="103">
        <f>S17/Q17</f>
        <v>1.47297476761304</v>
      </c>
      <c r="U17" s="382">
        <f>SUM(S17:S20)</f>
        <v>339328814</v>
      </c>
      <c r="V17" s="415">
        <f>U17/R17</f>
        <v>0.62827423964799134</v>
      </c>
      <c r="W17" s="85"/>
      <c r="X17" s="245">
        <v>43187564</v>
      </c>
      <c r="Y17" s="382">
        <f>X17+X18+X19+X20</f>
        <v>568184961</v>
      </c>
      <c r="Z17" s="245">
        <v>68429171</v>
      </c>
      <c r="AA17" s="103">
        <f>Z17/X17</f>
        <v>1.5844647084054104</v>
      </c>
      <c r="AB17" s="382">
        <f>(Z17+Z18+Z19+Z20)/4</f>
        <v>86004168.25</v>
      </c>
      <c r="AC17" s="394">
        <f>AB17/Y17</f>
        <v>0.15136649885740289</v>
      </c>
      <c r="AD17" s="243"/>
      <c r="AE17" s="93">
        <v>151905653</v>
      </c>
      <c r="AF17" s="382">
        <f>SUM(AE17:AE20)</f>
        <v>2117717289</v>
      </c>
      <c r="AG17" s="114">
        <f>E17+L17+S17+Z17</f>
        <v>198381266</v>
      </c>
      <c r="AH17" s="115">
        <f>AG17/AE17</f>
        <v>1.3059505165354182</v>
      </c>
      <c r="AI17" s="382">
        <f>SUM(AG17:AG20)</f>
        <v>1455207785</v>
      </c>
      <c r="AJ17" s="410">
        <f>AI17/AF17</f>
        <v>0.68715866492602451</v>
      </c>
    </row>
    <row r="18" spans="1:36" ht="27.75" customHeight="1">
      <c r="A18" s="293"/>
      <c r="B18" s="73" t="s">
        <v>16</v>
      </c>
      <c r="C18" s="122">
        <v>75000000</v>
      </c>
      <c r="D18" s="383"/>
      <c r="E18" s="93">
        <v>82777622</v>
      </c>
      <c r="F18" s="103">
        <f>E18/C18</f>
        <v>1.1037016266666666</v>
      </c>
      <c r="G18" s="383"/>
      <c r="H18" s="401"/>
      <c r="I18" s="53"/>
      <c r="J18" s="93">
        <v>78150000</v>
      </c>
      <c r="K18" s="383"/>
      <c r="L18" s="93">
        <v>158101757</v>
      </c>
      <c r="M18" s="103">
        <f>L18/J18</f>
        <v>2.0230551119641715</v>
      </c>
      <c r="N18" s="383"/>
      <c r="O18" s="415"/>
      <c r="P18" s="170"/>
      <c r="Q18" s="167">
        <v>81510450</v>
      </c>
      <c r="R18" s="383"/>
      <c r="S18" s="171">
        <v>137798928</v>
      </c>
      <c r="T18" s="103">
        <f>S18/Q18</f>
        <v>1.6905676266049323</v>
      </c>
      <c r="U18" s="383"/>
      <c r="V18" s="415"/>
      <c r="W18" s="85"/>
      <c r="X18" s="245">
        <v>85504462</v>
      </c>
      <c r="Y18" s="383"/>
      <c r="Z18" s="245">
        <v>135735238</v>
      </c>
      <c r="AA18" s="103">
        <f>Z18/X18</f>
        <v>1.5874637980881046</v>
      </c>
      <c r="AB18" s="383"/>
      <c r="AC18" s="394"/>
      <c r="AD18" s="243"/>
      <c r="AE18" s="93">
        <v>320164912</v>
      </c>
      <c r="AF18" s="383"/>
      <c r="AG18" s="114">
        <f>E18+L18+S18+Z18</f>
        <v>514413545</v>
      </c>
      <c r="AH18" s="115">
        <f>AG18/AE18</f>
        <v>1.6067143079064203</v>
      </c>
      <c r="AI18" s="383"/>
      <c r="AJ18" s="410"/>
    </row>
    <row r="19" spans="1:36" ht="24" customHeight="1">
      <c r="A19" s="293"/>
      <c r="B19" s="73" t="s">
        <v>17</v>
      </c>
      <c r="C19" s="122">
        <v>377500000</v>
      </c>
      <c r="D19" s="383"/>
      <c r="E19" s="93">
        <v>169392147</v>
      </c>
      <c r="F19" s="101">
        <f>E19/C19</f>
        <v>0.448720919205298</v>
      </c>
      <c r="G19" s="383"/>
      <c r="H19" s="401"/>
      <c r="I19" s="53"/>
      <c r="J19" s="93">
        <v>393355000</v>
      </c>
      <c r="K19" s="383"/>
      <c r="L19" s="93">
        <v>288001605</v>
      </c>
      <c r="M19" s="104">
        <f>L19/J19</f>
        <v>0.73216713909827003</v>
      </c>
      <c r="N19" s="383"/>
      <c r="O19" s="415"/>
      <c r="P19" s="170"/>
      <c r="Q19" s="167">
        <v>410269265</v>
      </c>
      <c r="R19" s="383"/>
      <c r="S19" s="171">
        <v>132696997</v>
      </c>
      <c r="T19" s="101">
        <f>S19/Q19</f>
        <v>0.32343879573820866</v>
      </c>
      <c r="U19" s="383"/>
      <c r="V19" s="415"/>
      <c r="W19" s="85"/>
      <c r="X19" s="245">
        <v>430372459</v>
      </c>
      <c r="Y19" s="383"/>
      <c r="Z19" s="245">
        <v>126891638</v>
      </c>
      <c r="AA19" s="101">
        <f>Z19/X19</f>
        <v>0.29484144569762072</v>
      </c>
      <c r="AB19" s="383"/>
      <c r="AC19" s="394"/>
      <c r="AD19" s="243"/>
      <c r="AE19" s="93">
        <v>1611496724</v>
      </c>
      <c r="AF19" s="383"/>
      <c r="AG19" s="114">
        <f>E19+L19+S19+Z19</f>
        <v>716982387</v>
      </c>
      <c r="AH19" s="117">
        <f>AG19/AE19</f>
        <v>0.44491706146341503</v>
      </c>
      <c r="AI19" s="383"/>
      <c r="AJ19" s="410"/>
    </row>
    <row r="20" spans="1:36" ht="22.5" customHeight="1">
      <c r="A20" s="293"/>
      <c r="B20" s="73" t="s">
        <v>18</v>
      </c>
      <c r="C20" s="122">
        <v>8000000</v>
      </c>
      <c r="D20" s="384"/>
      <c r="E20" s="93">
        <v>2000000</v>
      </c>
      <c r="F20" s="101">
        <f>E20/C20</f>
        <v>0.25</v>
      </c>
      <c r="G20" s="384"/>
      <c r="H20" s="402"/>
      <c r="I20" s="53"/>
      <c r="J20" s="93">
        <v>8336000</v>
      </c>
      <c r="K20" s="384"/>
      <c r="L20" s="93">
        <v>0</v>
      </c>
      <c r="M20" s="101">
        <f>L20/J20</f>
        <v>0</v>
      </c>
      <c r="N20" s="384"/>
      <c r="O20" s="415"/>
      <c r="P20" s="170"/>
      <c r="Q20" s="167">
        <v>8694448</v>
      </c>
      <c r="R20" s="384"/>
      <c r="S20" s="171">
        <v>10469961</v>
      </c>
      <c r="T20" s="103">
        <f>S20/Q20</f>
        <v>1.2042122743157473</v>
      </c>
      <c r="U20" s="384"/>
      <c r="V20" s="415"/>
      <c r="W20" s="85"/>
      <c r="X20" s="245">
        <v>9120476</v>
      </c>
      <c r="Y20" s="384"/>
      <c r="Z20" s="245">
        <v>12960626</v>
      </c>
      <c r="AA20" s="103">
        <f>Z20/X20</f>
        <v>1.4210471032432956</v>
      </c>
      <c r="AB20" s="384"/>
      <c r="AC20" s="394"/>
      <c r="AD20" s="243"/>
      <c r="AE20" s="93">
        <v>34150000</v>
      </c>
      <c r="AF20" s="384"/>
      <c r="AG20" s="114">
        <f>E20+L20+S20+Z20</f>
        <v>25430587</v>
      </c>
      <c r="AH20" s="116">
        <f>AG20/AE20</f>
        <v>0.7446731185944363</v>
      </c>
      <c r="AI20" s="384"/>
      <c r="AJ20" s="410"/>
    </row>
    <row r="21" spans="1:36">
      <c r="A21" s="362"/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4"/>
    </row>
    <row r="22" spans="1:36">
      <c r="A22" s="293" t="s">
        <v>19</v>
      </c>
      <c r="B22" s="73" t="s">
        <v>20</v>
      </c>
      <c r="C22" s="122">
        <v>395000000</v>
      </c>
      <c r="D22" s="382">
        <f>SUM(C22:C33)</f>
        <v>8011480000</v>
      </c>
      <c r="E22" s="93">
        <v>439486423</v>
      </c>
      <c r="F22" s="103">
        <f t="shared" ref="F22:F33" si="0">E22/C22</f>
        <v>1.1126238556962025</v>
      </c>
      <c r="G22" s="382">
        <f>SUM(E22:E33)</f>
        <v>4255100307</v>
      </c>
      <c r="H22" s="400">
        <f>G22/D22</f>
        <v>0.53112537346407906</v>
      </c>
      <c r="I22" s="53"/>
      <c r="J22" s="93">
        <v>454090000</v>
      </c>
      <c r="K22" s="382">
        <f>SUM(J22:J33)</f>
        <v>9528425360</v>
      </c>
      <c r="L22" s="93">
        <v>617136657</v>
      </c>
      <c r="M22" s="103">
        <f t="shared" ref="M22:M33" si="1">L22/J22</f>
        <v>1.3590624259508026</v>
      </c>
      <c r="N22" s="382">
        <f>SUM(L22:L33)</f>
        <v>4279337712</v>
      </c>
      <c r="O22" s="386">
        <f>N22/K22</f>
        <v>0.44911279149695726</v>
      </c>
      <c r="P22" s="170"/>
      <c r="Q22" s="167">
        <v>473615870</v>
      </c>
      <c r="R22" s="382">
        <f>SUM(Q22:Q33)</f>
        <v>9911425990</v>
      </c>
      <c r="S22" s="171">
        <v>768845014</v>
      </c>
      <c r="T22" s="103">
        <f t="shared" ref="T22:T33" si="2">S22/Q22</f>
        <v>1.6233514599077941</v>
      </c>
      <c r="U22" s="382">
        <f>SUM(S22:S33)</f>
        <v>4543863839</v>
      </c>
      <c r="V22" s="386">
        <f>U22/R22</f>
        <v>0.45844703310951124</v>
      </c>
      <c r="W22" s="63"/>
      <c r="X22" s="245">
        <v>494087781</v>
      </c>
      <c r="Y22" s="382">
        <f>X22+X23+X24+X25+X26+X27+X28+X29+X30+X31+X32+X33</f>
        <v>10346650600</v>
      </c>
      <c r="Z22" s="245">
        <v>448858326</v>
      </c>
      <c r="AA22" s="104">
        <f t="shared" ref="AA22:AA33" si="3">Z22/X22</f>
        <v>0.9084586651617681</v>
      </c>
      <c r="AB22" s="382">
        <f>(Z22+Z23+Z24+Z25+Z26+Z27+Z28+Z29+Z30+Z31+Z32+Z33)</f>
        <v>5314793315</v>
      </c>
      <c r="AC22" s="395">
        <f>AB22/Y22</f>
        <v>0.51367283195974556</v>
      </c>
      <c r="AD22" s="244"/>
      <c r="AE22" s="93">
        <v>1816793650</v>
      </c>
      <c r="AF22" s="382">
        <f>SUM(AE22:AE33)</f>
        <v>37845691947</v>
      </c>
      <c r="AG22" s="114">
        <f t="shared" ref="AG22:AG31" si="4">E22+L22+S22+Z22</f>
        <v>2274326420</v>
      </c>
      <c r="AH22" s="115">
        <f t="shared" ref="AH22:AH33" si="5">AG22/AE22</f>
        <v>1.2518352978611522</v>
      </c>
      <c r="AI22" s="382">
        <f>SUM(AG22:AG33)</f>
        <v>18393095173</v>
      </c>
      <c r="AJ22" s="399">
        <f>AI22/AF22</f>
        <v>0.48600234866251418</v>
      </c>
    </row>
    <row r="23" spans="1:36">
      <c r="A23" s="293"/>
      <c r="B23" s="73" t="s">
        <v>21</v>
      </c>
      <c r="C23" s="122">
        <v>5400000000</v>
      </c>
      <c r="D23" s="383"/>
      <c r="E23" s="93">
        <v>2267137096</v>
      </c>
      <c r="F23" s="101">
        <f t="shared" si="0"/>
        <v>0.41984020296296298</v>
      </c>
      <c r="G23" s="383"/>
      <c r="H23" s="401"/>
      <c r="I23" s="53"/>
      <c r="J23" s="93">
        <v>5626800000</v>
      </c>
      <c r="K23" s="383"/>
      <c r="L23" s="93">
        <v>1506005848</v>
      </c>
      <c r="M23" s="101">
        <f t="shared" si="1"/>
        <v>0.26764872538565437</v>
      </c>
      <c r="N23" s="383"/>
      <c r="O23" s="387"/>
      <c r="P23" s="170"/>
      <c r="Q23" s="167">
        <v>5868752400</v>
      </c>
      <c r="R23" s="383"/>
      <c r="S23" s="171">
        <v>1505462086</v>
      </c>
      <c r="T23" s="101">
        <f t="shared" si="2"/>
        <v>0.25652165628933332</v>
      </c>
      <c r="U23" s="383"/>
      <c r="V23" s="387"/>
      <c r="W23" s="63"/>
      <c r="X23" s="245">
        <v>6156321267</v>
      </c>
      <c r="Y23" s="383"/>
      <c r="Z23" s="245">
        <v>2939666182</v>
      </c>
      <c r="AA23" s="101">
        <f t="shared" si="3"/>
        <v>0.47750369977564722</v>
      </c>
      <c r="AB23" s="383"/>
      <c r="AC23" s="396"/>
      <c r="AD23" s="244"/>
      <c r="AE23" s="93">
        <v>23051873667</v>
      </c>
      <c r="AF23" s="383"/>
      <c r="AG23" s="114">
        <f t="shared" si="4"/>
        <v>8218271212</v>
      </c>
      <c r="AH23" s="116">
        <f t="shared" si="5"/>
        <v>0.35651207058994505</v>
      </c>
      <c r="AI23" s="383"/>
      <c r="AJ23" s="399"/>
    </row>
    <row r="24" spans="1:36">
      <c r="A24" s="293"/>
      <c r="B24" s="73" t="s">
        <v>22</v>
      </c>
      <c r="C24" s="122">
        <v>740000000</v>
      </c>
      <c r="D24" s="383"/>
      <c r="E24" s="93">
        <v>225025905</v>
      </c>
      <c r="F24" s="101">
        <f t="shared" si="0"/>
        <v>0.30408906081081083</v>
      </c>
      <c r="G24" s="383"/>
      <c r="H24" s="401"/>
      <c r="I24" s="53"/>
      <c r="J24" s="93">
        <v>771080000</v>
      </c>
      <c r="K24" s="383"/>
      <c r="L24" s="93">
        <v>782991065</v>
      </c>
      <c r="M24" s="103">
        <f t="shared" si="1"/>
        <v>1.0154472493126523</v>
      </c>
      <c r="N24" s="383"/>
      <c r="O24" s="387"/>
      <c r="P24" s="170"/>
      <c r="Q24" s="167">
        <v>804236440</v>
      </c>
      <c r="R24" s="383"/>
      <c r="S24" s="171">
        <v>269130290</v>
      </c>
      <c r="T24" s="101">
        <f t="shared" si="2"/>
        <v>0.33464075564643653</v>
      </c>
      <c r="U24" s="383"/>
      <c r="V24" s="387"/>
      <c r="W24" s="63"/>
      <c r="X24" s="245">
        <v>843644026</v>
      </c>
      <c r="Y24" s="383"/>
      <c r="Z24" s="245">
        <v>681374832</v>
      </c>
      <c r="AA24" s="104">
        <f t="shared" si="3"/>
        <v>0.80765679718094752</v>
      </c>
      <c r="AB24" s="383"/>
      <c r="AC24" s="396"/>
      <c r="AD24" s="244"/>
      <c r="AE24" s="93">
        <v>3158960466</v>
      </c>
      <c r="AF24" s="383"/>
      <c r="AG24" s="114">
        <f t="shared" si="4"/>
        <v>1958522092</v>
      </c>
      <c r="AH24" s="117">
        <f t="shared" si="5"/>
        <v>0.61998942787655642</v>
      </c>
      <c r="AI24" s="383"/>
      <c r="AJ24" s="399"/>
    </row>
    <row r="25" spans="1:36">
      <c r="A25" s="293"/>
      <c r="B25" s="73" t="s">
        <v>23</v>
      </c>
      <c r="C25" s="122">
        <v>121500000</v>
      </c>
      <c r="D25" s="383"/>
      <c r="E25" s="93">
        <v>35200000</v>
      </c>
      <c r="F25" s="101">
        <f t="shared" si="0"/>
        <v>0.28971193415637858</v>
      </c>
      <c r="G25" s="383"/>
      <c r="H25" s="401"/>
      <c r="I25" s="53"/>
      <c r="J25" s="93">
        <v>136897000</v>
      </c>
      <c r="K25" s="383"/>
      <c r="L25" s="93">
        <v>47036280</v>
      </c>
      <c r="M25" s="101">
        <f t="shared" si="1"/>
        <v>0.34358882955798886</v>
      </c>
      <c r="N25" s="383"/>
      <c r="O25" s="387"/>
      <c r="P25" s="170"/>
      <c r="Q25" s="167">
        <v>126481481</v>
      </c>
      <c r="R25" s="383"/>
      <c r="S25" s="171">
        <v>73197620</v>
      </c>
      <c r="T25" s="104">
        <f t="shared" si="2"/>
        <v>0.57872203441387593</v>
      </c>
      <c r="U25" s="383"/>
      <c r="V25" s="387"/>
      <c r="W25" s="63"/>
      <c r="X25" s="245">
        <v>132679074</v>
      </c>
      <c r="Y25" s="383"/>
      <c r="Z25" s="245">
        <v>30385000</v>
      </c>
      <c r="AA25" s="101">
        <f t="shared" si="3"/>
        <v>0.22901124558647432</v>
      </c>
      <c r="AB25" s="383"/>
      <c r="AC25" s="396"/>
      <c r="AD25" s="244"/>
      <c r="AE25" s="93">
        <v>517557554</v>
      </c>
      <c r="AF25" s="383"/>
      <c r="AG25" s="114">
        <f t="shared" si="4"/>
        <v>185818900</v>
      </c>
      <c r="AH25" s="116">
        <f t="shared" si="5"/>
        <v>0.35903040843260497</v>
      </c>
      <c r="AI25" s="383"/>
      <c r="AJ25" s="399"/>
    </row>
    <row r="26" spans="1:36" ht="16.5" customHeight="1">
      <c r="A26" s="293"/>
      <c r="B26" s="73" t="s">
        <v>24</v>
      </c>
      <c r="C26" s="122">
        <v>32000000</v>
      </c>
      <c r="D26" s="383"/>
      <c r="E26" s="93">
        <v>46038588</v>
      </c>
      <c r="F26" s="103">
        <f t="shared" si="0"/>
        <v>1.4387058749999999</v>
      </c>
      <c r="G26" s="383"/>
      <c r="H26" s="401"/>
      <c r="I26" s="53"/>
      <c r="J26" s="93">
        <v>33334000</v>
      </c>
      <c r="K26" s="383"/>
      <c r="L26" s="93">
        <v>32050769</v>
      </c>
      <c r="M26" s="104">
        <f t="shared" si="1"/>
        <v>0.96150383992320154</v>
      </c>
      <c r="N26" s="383"/>
      <c r="O26" s="387"/>
      <c r="P26" s="170"/>
      <c r="Q26" s="167">
        <v>34777792</v>
      </c>
      <c r="R26" s="383"/>
      <c r="S26" s="171">
        <v>35553040</v>
      </c>
      <c r="T26" s="103">
        <f t="shared" si="2"/>
        <v>1.0222914669223393</v>
      </c>
      <c r="U26" s="383"/>
      <c r="V26" s="387"/>
      <c r="W26" s="63"/>
      <c r="X26" s="245">
        <v>36481904</v>
      </c>
      <c r="Y26" s="383"/>
      <c r="Z26" s="245">
        <v>32030233</v>
      </c>
      <c r="AA26" s="104">
        <f t="shared" si="3"/>
        <v>0.8779759137571328</v>
      </c>
      <c r="AB26" s="383"/>
      <c r="AC26" s="396"/>
      <c r="AD26" s="244"/>
      <c r="AE26" s="93">
        <v>136603696</v>
      </c>
      <c r="AF26" s="383"/>
      <c r="AG26" s="114">
        <f t="shared" si="4"/>
        <v>145672630</v>
      </c>
      <c r="AH26" s="115">
        <f t="shared" si="5"/>
        <v>1.0663886429544336</v>
      </c>
      <c r="AI26" s="383"/>
      <c r="AJ26" s="399"/>
    </row>
    <row r="27" spans="1:36">
      <c r="A27" s="293"/>
      <c r="B27" s="73" t="s">
        <v>25</v>
      </c>
      <c r="C27" s="122">
        <v>47400000</v>
      </c>
      <c r="D27" s="383"/>
      <c r="E27" s="93">
        <v>38365490</v>
      </c>
      <c r="F27" s="104">
        <f t="shared" si="0"/>
        <v>0.8093985232067511</v>
      </c>
      <c r="G27" s="383"/>
      <c r="H27" s="401"/>
      <c r="I27" s="53"/>
      <c r="J27" s="93">
        <v>54510000</v>
      </c>
      <c r="K27" s="383"/>
      <c r="L27" s="93">
        <v>32050769</v>
      </c>
      <c r="M27" s="104">
        <f t="shared" si="1"/>
        <v>0.58797961841863877</v>
      </c>
      <c r="N27" s="383"/>
      <c r="O27" s="387"/>
      <c r="P27" s="170"/>
      <c r="Q27" s="167">
        <v>56853930</v>
      </c>
      <c r="R27" s="383"/>
      <c r="S27" s="171">
        <v>35553040</v>
      </c>
      <c r="T27" s="104">
        <f t="shared" si="2"/>
        <v>0.62534006004510156</v>
      </c>
      <c r="U27" s="383"/>
      <c r="V27" s="387"/>
      <c r="W27" s="63"/>
      <c r="X27" s="245">
        <v>59639773</v>
      </c>
      <c r="Y27" s="383"/>
      <c r="Z27" s="245">
        <v>32030233</v>
      </c>
      <c r="AA27" s="104">
        <f t="shared" si="3"/>
        <v>0.53706161825934517</v>
      </c>
      <c r="AB27" s="383"/>
      <c r="AC27" s="396"/>
      <c r="AD27" s="244"/>
      <c r="AE27" s="93">
        <v>218403703</v>
      </c>
      <c r="AF27" s="383"/>
      <c r="AG27" s="114">
        <f t="shared" si="4"/>
        <v>137999532</v>
      </c>
      <c r="AH27" s="117">
        <f t="shared" si="5"/>
        <v>0.63185527582378032</v>
      </c>
      <c r="AI27" s="383"/>
      <c r="AJ27" s="399"/>
    </row>
    <row r="28" spans="1:36">
      <c r="A28" s="293"/>
      <c r="B28" s="73" t="s">
        <v>26</v>
      </c>
      <c r="C28" s="122">
        <v>469000000</v>
      </c>
      <c r="D28" s="383"/>
      <c r="E28" s="93">
        <v>476195035</v>
      </c>
      <c r="F28" s="103">
        <f t="shared" si="0"/>
        <v>1.0153412260127932</v>
      </c>
      <c r="G28" s="383"/>
      <c r="H28" s="401"/>
      <c r="I28" s="53"/>
      <c r="J28" s="93">
        <v>488698000</v>
      </c>
      <c r="K28" s="383"/>
      <c r="L28" s="93">
        <v>440365000</v>
      </c>
      <c r="M28" s="104">
        <f>L28/J28</f>
        <v>0.90109842888655156</v>
      </c>
      <c r="N28" s="383"/>
      <c r="O28" s="387"/>
      <c r="P28" s="170"/>
      <c r="Q28" s="167">
        <v>509712014</v>
      </c>
      <c r="R28" s="383"/>
      <c r="S28" s="171">
        <v>381703663</v>
      </c>
      <c r="T28" s="104">
        <f>S28/Q28</f>
        <v>0.74886142079437035</v>
      </c>
      <c r="U28" s="383"/>
      <c r="V28" s="387"/>
      <c r="W28" s="63"/>
      <c r="X28" s="245">
        <v>534687903</v>
      </c>
      <c r="Y28" s="383"/>
      <c r="Z28" s="245">
        <v>347043301</v>
      </c>
      <c r="AA28" s="104">
        <f t="shared" si="3"/>
        <v>0.6490577008621794</v>
      </c>
      <c r="AB28" s="383"/>
      <c r="AC28" s="396"/>
      <c r="AD28" s="244"/>
      <c r="AE28" s="93">
        <v>2002097917</v>
      </c>
      <c r="AF28" s="383"/>
      <c r="AG28" s="114">
        <f t="shared" si="4"/>
        <v>1645306999</v>
      </c>
      <c r="AH28" s="117">
        <f t="shared" si="5"/>
        <v>0.82179147434775535</v>
      </c>
      <c r="AI28" s="383"/>
      <c r="AJ28" s="399"/>
    </row>
    <row r="29" spans="1:36" ht="27.75" customHeight="1">
      <c r="A29" s="293"/>
      <c r="B29" s="73" t="s">
        <v>27</v>
      </c>
      <c r="C29" s="122">
        <v>406000000</v>
      </c>
      <c r="D29" s="383"/>
      <c r="E29" s="93">
        <v>402957089</v>
      </c>
      <c r="F29" s="104">
        <f t="shared" si="0"/>
        <v>0.99250514532019707</v>
      </c>
      <c r="G29" s="383"/>
      <c r="H29" s="401"/>
      <c r="I29" s="53"/>
      <c r="J29" s="93">
        <v>762052000</v>
      </c>
      <c r="K29" s="383"/>
      <c r="L29" s="93">
        <v>382095176</v>
      </c>
      <c r="M29" s="104">
        <f t="shared" si="1"/>
        <v>0.50140302236592782</v>
      </c>
      <c r="N29" s="383"/>
      <c r="O29" s="387"/>
      <c r="P29" s="170"/>
      <c r="Q29" s="167">
        <v>794820236</v>
      </c>
      <c r="R29" s="383"/>
      <c r="S29" s="171">
        <v>1170548266</v>
      </c>
      <c r="T29" s="103">
        <f t="shared" si="2"/>
        <v>1.4727207650007541</v>
      </c>
      <c r="U29" s="383"/>
      <c r="V29" s="387"/>
      <c r="W29" s="63"/>
      <c r="X29" s="245">
        <v>833766428</v>
      </c>
      <c r="Y29" s="383"/>
      <c r="Z29" s="245">
        <v>272230725</v>
      </c>
      <c r="AA29" s="101">
        <f t="shared" si="3"/>
        <v>0.32650717977817162</v>
      </c>
      <c r="AB29" s="383"/>
      <c r="AC29" s="396"/>
      <c r="AD29" s="244"/>
      <c r="AE29" s="93">
        <v>2796638663</v>
      </c>
      <c r="AF29" s="383"/>
      <c r="AG29" s="114">
        <f t="shared" si="4"/>
        <v>2227831256</v>
      </c>
      <c r="AH29" s="117">
        <f t="shared" si="5"/>
        <v>0.79661033278077087</v>
      </c>
      <c r="AI29" s="383"/>
      <c r="AJ29" s="399"/>
    </row>
    <row r="30" spans="1:36">
      <c r="A30" s="293"/>
      <c r="B30" s="73" t="s">
        <v>28</v>
      </c>
      <c r="C30" s="122">
        <v>95000000</v>
      </c>
      <c r="D30" s="383"/>
      <c r="E30" s="93">
        <v>161337018</v>
      </c>
      <c r="F30" s="103">
        <f t="shared" si="0"/>
        <v>1.6982843999999999</v>
      </c>
      <c r="G30" s="383"/>
      <c r="H30" s="401"/>
      <c r="I30" s="53"/>
      <c r="J30" s="93">
        <v>861990000</v>
      </c>
      <c r="K30" s="383"/>
      <c r="L30" s="93">
        <v>255559793</v>
      </c>
      <c r="M30" s="101">
        <f t="shared" si="1"/>
        <v>0.296476517128969</v>
      </c>
      <c r="N30" s="383"/>
      <c r="O30" s="387"/>
      <c r="P30" s="170"/>
      <c r="Q30" s="167">
        <v>899055570</v>
      </c>
      <c r="R30" s="383"/>
      <c r="S30" s="171">
        <v>83651861</v>
      </c>
      <c r="T30" s="101">
        <f t="shared" si="2"/>
        <v>9.3044149651394736E-2</v>
      </c>
      <c r="U30" s="383"/>
      <c r="V30" s="387"/>
      <c r="W30" s="63"/>
      <c r="X30" s="245">
        <v>943109293</v>
      </c>
      <c r="Y30" s="383"/>
      <c r="Z30" s="245">
        <v>239053751</v>
      </c>
      <c r="AA30" s="101">
        <f t="shared" si="3"/>
        <v>0.25347407005139116</v>
      </c>
      <c r="AB30" s="383"/>
      <c r="AC30" s="396"/>
      <c r="AD30" s="244"/>
      <c r="AE30" s="93">
        <v>2799154863</v>
      </c>
      <c r="AF30" s="383"/>
      <c r="AG30" s="114">
        <f t="shared" si="4"/>
        <v>739602423</v>
      </c>
      <c r="AH30" s="116">
        <f t="shared" si="5"/>
        <v>0.26422347429799919</v>
      </c>
      <c r="AI30" s="383"/>
      <c r="AJ30" s="399"/>
    </row>
    <row r="31" spans="1:36" ht="18" customHeight="1">
      <c r="A31" s="293"/>
      <c r="B31" s="73" t="s">
        <v>29</v>
      </c>
      <c r="C31" s="122">
        <v>23020000</v>
      </c>
      <c r="D31" s="383"/>
      <c r="E31" s="93">
        <v>7467000</v>
      </c>
      <c r="F31" s="101">
        <f t="shared" si="0"/>
        <v>0.32437011294526497</v>
      </c>
      <c r="G31" s="383"/>
      <c r="H31" s="401"/>
      <c r="I31" s="53"/>
      <c r="J31" s="93">
        <v>39686840</v>
      </c>
      <c r="K31" s="383"/>
      <c r="L31" s="93">
        <v>21820000</v>
      </c>
      <c r="M31" s="103">
        <f t="shared" si="1"/>
        <v>0.54980441879474407</v>
      </c>
      <c r="N31" s="383"/>
      <c r="O31" s="387"/>
      <c r="P31" s="170"/>
      <c r="Q31" s="167">
        <v>41393374</v>
      </c>
      <c r="R31" s="383"/>
      <c r="S31" s="171">
        <v>51125615</v>
      </c>
      <c r="T31" s="103">
        <f t="shared" si="2"/>
        <v>1.2351159149288</v>
      </c>
      <c r="U31" s="383"/>
      <c r="V31" s="387"/>
      <c r="W31" s="63"/>
      <c r="X31" s="245">
        <v>43421650</v>
      </c>
      <c r="Y31" s="383"/>
      <c r="Z31" s="245">
        <v>16077005</v>
      </c>
      <c r="AA31" s="101">
        <f t="shared" si="3"/>
        <v>0.3702532031832047</v>
      </c>
      <c r="AB31" s="383"/>
      <c r="AC31" s="396"/>
      <c r="AD31" s="244"/>
      <c r="AE31" s="93">
        <v>147521864</v>
      </c>
      <c r="AF31" s="383"/>
      <c r="AG31" s="114">
        <f t="shared" si="4"/>
        <v>96489620</v>
      </c>
      <c r="AH31" s="117">
        <f t="shared" si="5"/>
        <v>0.65406996213117263</v>
      </c>
      <c r="AI31" s="383"/>
      <c r="AJ31" s="399"/>
    </row>
    <row r="32" spans="1:36" ht="19.5" customHeight="1">
      <c r="A32" s="293"/>
      <c r="B32" s="73" t="s">
        <v>30</v>
      </c>
      <c r="C32" s="122">
        <v>31420000</v>
      </c>
      <c r="D32" s="383"/>
      <c r="E32" s="93">
        <v>43092833</v>
      </c>
      <c r="F32" s="104">
        <f t="shared" si="0"/>
        <v>1.3715096435391469</v>
      </c>
      <c r="G32" s="383"/>
      <c r="H32" s="401"/>
      <c r="I32" s="53"/>
      <c r="J32" s="93">
        <v>48439640</v>
      </c>
      <c r="K32" s="383"/>
      <c r="L32" s="93">
        <v>27330000</v>
      </c>
      <c r="M32" s="104">
        <f t="shared" si="1"/>
        <v>0.56420733102062692</v>
      </c>
      <c r="N32" s="383"/>
      <c r="O32" s="387"/>
      <c r="P32" s="170"/>
      <c r="Q32" s="167">
        <v>50522544</v>
      </c>
      <c r="R32" s="383"/>
      <c r="S32" s="171">
        <v>49488396</v>
      </c>
      <c r="T32" s="104">
        <f t="shared" si="2"/>
        <v>0.97953095948612567</v>
      </c>
      <c r="U32" s="383"/>
      <c r="V32" s="387"/>
      <c r="W32" s="63"/>
      <c r="X32" s="245">
        <v>5298150</v>
      </c>
      <c r="Y32" s="383"/>
      <c r="Z32" s="245">
        <v>63897979</v>
      </c>
      <c r="AA32" s="103">
        <f t="shared" si="3"/>
        <v>12.060432226343158</v>
      </c>
      <c r="AB32" s="383"/>
      <c r="AC32" s="396"/>
      <c r="AD32" s="244"/>
      <c r="AE32" s="93">
        <v>183380334</v>
      </c>
      <c r="AF32" s="383"/>
      <c r="AG32" s="114">
        <f t="shared" ref="AG32:AG51" si="6">E32+L32+S32+Z32</f>
        <v>183809208</v>
      </c>
      <c r="AH32" s="115">
        <f t="shared" si="5"/>
        <v>1.0023387131577588</v>
      </c>
      <c r="AI32" s="383"/>
      <c r="AJ32" s="399"/>
    </row>
    <row r="33" spans="1:36" ht="19.5" customHeight="1">
      <c r="A33" s="293"/>
      <c r="B33" s="73" t="s">
        <v>31</v>
      </c>
      <c r="C33" s="122">
        <v>251140000</v>
      </c>
      <c r="D33" s="384"/>
      <c r="E33" s="93">
        <v>112797830</v>
      </c>
      <c r="F33" s="101">
        <f t="shared" si="0"/>
        <v>0.44914322688540259</v>
      </c>
      <c r="G33" s="384"/>
      <c r="H33" s="402"/>
      <c r="I33" s="53"/>
      <c r="J33" s="93">
        <v>250847880</v>
      </c>
      <c r="K33" s="384"/>
      <c r="L33" s="93">
        <v>134896355</v>
      </c>
      <c r="M33" s="104">
        <f t="shared" si="1"/>
        <v>0.53776159080953767</v>
      </c>
      <c r="N33" s="384"/>
      <c r="O33" s="388"/>
      <c r="P33" s="170"/>
      <c r="Q33" s="167">
        <v>251204339</v>
      </c>
      <c r="R33" s="384"/>
      <c r="S33" s="171">
        <v>119604948</v>
      </c>
      <c r="T33" s="101">
        <f t="shared" si="2"/>
        <v>0.47612612296477891</v>
      </c>
      <c r="U33" s="384"/>
      <c r="V33" s="388"/>
      <c r="W33" s="63"/>
      <c r="X33" s="245">
        <v>263513351</v>
      </c>
      <c r="Y33" s="384"/>
      <c r="Z33" s="245">
        <v>212145748</v>
      </c>
      <c r="AA33" s="104">
        <f t="shared" si="3"/>
        <v>0.80506641198608564</v>
      </c>
      <c r="AB33" s="384"/>
      <c r="AC33" s="397"/>
      <c r="AD33" s="244"/>
      <c r="AE33" s="93">
        <v>1016705570</v>
      </c>
      <c r="AF33" s="384"/>
      <c r="AG33" s="114">
        <f t="shared" si="6"/>
        <v>579444881</v>
      </c>
      <c r="AH33" s="117">
        <f t="shared" si="5"/>
        <v>0.56992397612221202</v>
      </c>
      <c r="AI33" s="384"/>
      <c r="AJ33" s="399"/>
    </row>
    <row r="34" spans="1:36">
      <c r="A34" s="362"/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4"/>
    </row>
    <row r="35" spans="1:36" ht="25.5" customHeight="1">
      <c r="A35" s="293" t="s">
        <v>32</v>
      </c>
      <c r="B35" s="73" t="s">
        <v>33</v>
      </c>
      <c r="C35" s="122">
        <v>965000000</v>
      </c>
      <c r="D35" s="382">
        <f>SUM(C35:C40)</f>
        <v>1983500000</v>
      </c>
      <c r="E35" s="93">
        <v>911250859</v>
      </c>
      <c r="F35" s="104">
        <f t="shared" ref="F35:F40" si="7">E35/C35</f>
        <v>0.94430140829015541</v>
      </c>
      <c r="G35" s="385">
        <f>SUM(E35:E40)</f>
        <v>1297055056</v>
      </c>
      <c r="H35" s="400">
        <f>G35/D35</f>
        <v>0.65392238769851274</v>
      </c>
      <c r="I35" s="53"/>
      <c r="J35" s="93">
        <v>955514000</v>
      </c>
      <c r="K35" s="382">
        <f>SUM(J35:J40)</f>
        <v>2088791000</v>
      </c>
      <c r="L35" s="93">
        <v>1561820084</v>
      </c>
      <c r="M35" s="103">
        <f t="shared" ref="M35:M40" si="8">L35/J35</f>
        <v>1.6345339618257817</v>
      </c>
      <c r="N35" s="382">
        <f>SUM(L35:L40)</f>
        <v>1865289865</v>
      </c>
      <c r="O35" s="403">
        <f>N35/K35</f>
        <v>0.89299976158457217</v>
      </c>
      <c r="P35" s="170"/>
      <c r="Q35" s="167">
        <v>996601102</v>
      </c>
      <c r="R35" s="382">
        <f>SUM(Q35+Q36+Q37+Q38+Q39+Q40)</f>
        <v>2178609013</v>
      </c>
      <c r="S35" s="171">
        <v>4496865768</v>
      </c>
      <c r="T35" s="103">
        <f t="shared" ref="T35:T40" si="9">S35/Q35</f>
        <v>4.5122022833163591</v>
      </c>
      <c r="U35" s="382">
        <f>SUM(S35:S40)</f>
        <v>4892991305</v>
      </c>
      <c r="V35" s="403">
        <f>U35/R35</f>
        <v>2.2459244755727079</v>
      </c>
      <c r="W35" s="63"/>
      <c r="X35" s="245">
        <v>1045434556</v>
      </c>
      <c r="Y35" s="382">
        <f>X35+X36+X37+X38+X39+X40</f>
        <v>2285360854</v>
      </c>
      <c r="Z35" s="245">
        <v>51800000</v>
      </c>
      <c r="AA35" s="101">
        <f>Z35/X35</f>
        <v>4.9548773476739756E-2</v>
      </c>
      <c r="AB35" s="382">
        <f>(Z35+Z36+Z37+Z38+Z39+Z40)</f>
        <v>616716219</v>
      </c>
      <c r="AC35" s="386">
        <f>AB35/Y35</f>
        <v>0.26985507252413976</v>
      </c>
      <c r="AD35" s="244"/>
      <c r="AE35" s="93">
        <v>3962549658</v>
      </c>
      <c r="AF35" s="382">
        <f>SUM(AE35:AE40)</f>
        <v>8536260867</v>
      </c>
      <c r="AG35" s="114">
        <f t="shared" si="6"/>
        <v>7021736711</v>
      </c>
      <c r="AH35" s="115">
        <f t="shared" ref="AH35:AH40" si="10">AG35/AE35</f>
        <v>1.7720249125014247</v>
      </c>
      <c r="AI35" s="382">
        <f>SUM(AG35:AG40)</f>
        <v>8672052445</v>
      </c>
      <c r="AJ35" s="406">
        <f>AI35/AF35</f>
        <v>1.015907618114736</v>
      </c>
    </row>
    <row r="36" spans="1:36">
      <c r="A36" s="293"/>
      <c r="B36" s="73" t="s">
        <v>34</v>
      </c>
      <c r="C36" s="122">
        <v>740500000</v>
      </c>
      <c r="D36" s="383"/>
      <c r="E36" s="93">
        <v>65670000</v>
      </c>
      <c r="F36" s="101">
        <f t="shared" si="7"/>
        <v>8.86833220796759E-2</v>
      </c>
      <c r="G36" s="385"/>
      <c r="H36" s="401"/>
      <c r="I36" s="53"/>
      <c r="J36" s="93">
        <v>771601000</v>
      </c>
      <c r="K36" s="383"/>
      <c r="L36" s="93">
        <v>123156667</v>
      </c>
      <c r="M36" s="101">
        <f t="shared" si="8"/>
        <v>0.15961185509090839</v>
      </c>
      <c r="N36" s="383"/>
      <c r="O36" s="404"/>
      <c r="P36" s="170"/>
      <c r="Q36" s="167">
        <v>804779843</v>
      </c>
      <c r="R36" s="383"/>
      <c r="S36" s="171">
        <v>225764210</v>
      </c>
      <c r="T36" s="101">
        <f t="shared" si="9"/>
        <v>0.28052915584765709</v>
      </c>
      <c r="U36" s="383"/>
      <c r="V36" s="404"/>
      <c r="W36" s="63"/>
      <c r="X36" s="245">
        <v>844214055</v>
      </c>
      <c r="Y36" s="383"/>
      <c r="Z36" s="245">
        <v>395978071</v>
      </c>
      <c r="AA36" s="101">
        <f t="shared" ref="AA36:AA51" si="11">Z36/X36</f>
        <v>0.46904937042300249</v>
      </c>
      <c r="AB36" s="383"/>
      <c r="AC36" s="387"/>
      <c r="AD36" s="244"/>
      <c r="AE36" s="93">
        <v>3161094898</v>
      </c>
      <c r="AF36" s="383"/>
      <c r="AG36" s="114">
        <f t="shared" si="6"/>
        <v>810568948</v>
      </c>
      <c r="AH36" s="116">
        <f t="shared" si="10"/>
        <v>0.25642031452862762</v>
      </c>
      <c r="AI36" s="383"/>
      <c r="AJ36" s="406"/>
    </row>
    <row r="37" spans="1:36" ht="21.75" customHeight="1">
      <c r="A37" s="293"/>
      <c r="B37" s="73" t="s">
        <v>35</v>
      </c>
      <c r="C37" s="122">
        <v>0</v>
      </c>
      <c r="D37" s="383"/>
      <c r="E37" s="93">
        <v>0</v>
      </c>
      <c r="F37" s="101">
        <v>0</v>
      </c>
      <c r="G37" s="385"/>
      <c r="H37" s="401"/>
      <c r="I37" s="53"/>
      <c r="J37" s="93">
        <v>72000000</v>
      </c>
      <c r="K37" s="383"/>
      <c r="L37" s="93">
        <v>26430000</v>
      </c>
      <c r="M37" s="101">
        <f t="shared" si="8"/>
        <v>0.36708333333333332</v>
      </c>
      <c r="N37" s="383"/>
      <c r="O37" s="404"/>
      <c r="P37" s="170"/>
      <c r="Q37" s="167">
        <v>75096000</v>
      </c>
      <c r="R37" s="383"/>
      <c r="S37" s="171">
        <v>21152000</v>
      </c>
      <c r="T37" s="101">
        <f t="shared" si="9"/>
        <v>0.2816661340151273</v>
      </c>
      <c r="U37" s="383"/>
      <c r="V37" s="404"/>
      <c r="W37" s="63"/>
      <c r="X37" s="245">
        <v>78775704</v>
      </c>
      <c r="Y37" s="383"/>
      <c r="Z37" s="245">
        <v>14240000</v>
      </c>
      <c r="AA37" s="101">
        <f t="shared" si="11"/>
        <v>0.18076639467417518</v>
      </c>
      <c r="AB37" s="383"/>
      <c r="AC37" s="387"/>
      <c r="AD37" s="244"/>
      <c r="AE37" s="93">
        <v>225871704</v>
      </c>
      <c r="AF37" s="383"/>
      <c r="AG37" s="114">
        <f t="shared" si="6"/>
        <v>61822000</v>
      </c>
      <c r="AH37" s="116">
        <f t="shared" si="10"/>
        <v>0.27370404926860603</v>
      </c>
      <c r="AI37" s="383"/>
      <c r="AJ37" s="406"/>
    </row>
    <row r="38" spans="1:36" ht="27.75" customHeight="1">
      <c r="A38" s="293"/>
      <c r="B38" s="73" t="s">
        <v>36</v>
      </c>
      <c r="C38" s="122">
        <v>140000000</v>
      </c>
      <c r="D38" s="383"/>
      <c r="E38" s="93">
        <v>49096272</v>
      </c>
      <c r="F38" s="101">
        <f t="shared" si="7"/>
        <v>0.35068765714285716</v>
      </c>
      <c r="G38" s="385"/>
      <c r="H38" s="401"/>
      <c r="I38" s="53"/>
      <c r="J38" s="93">
        <v>145880000</v>
      </c>
      <c r="K38" s="383"/>
      <c r="L38" s="93">
        <v>47750000</v>
      </c>
      <c r="M38" s="104">
        <f t="shared" si="8"/>
        <v>0.32732382780367425</v>
      </c>
      <c r="N38" s="383"/>
      <c r="O38" s="404"/>
      <c r="P38" s="170"/>
      <c r="Q38" s="167">
        <v>152152840</v>
      </c>
      <c r="R38" s="383"/>
      <c r="S38" s="171">
        <v>32125485</v>
      </c>
      <c r="T38" s="101">
        <f t="shared" si="9"/>
        <v>0.21113956860746075</v>
      </c>
      <c r="U38" s="383"/>
      <c r="V38" s="404"/>
      <c r="W38" s="63"/>
      <c r="X38" s="245">
        <v>159608329</v>
      </c>
      <c r="Y38" s="383"/>
      <c r="Z38" s="245">
        <v>0</v>
      </c>
      <c r="AA38" s="101">
        <f>Z38/X38</f>
        <v>0</v>
      </c>
      <c r="AB38" s="383"/>
      <c r="AC38" s="387"/>
      <c r="AD38" s="244"/>
      <c r="AE38" s="93">
        <v>597641169</v>
      </c>
      <c r="AF38" s="383"/>
      <c r="AG38" s="114">
        <f t="shared" si="6"/>
        <v>128971757</v>
      </c>
      <c r="AH38" s="116">
        <f t="shared" si="10"/>
        <v>0.21580132643104444</v>
      </c>
      <c r="AI38" s="383"/>
      <c r="AJ38" s="406"/>
    </row>
    <row r="39" spans="1:36" ht="26.25" customHeight="1">
      <c r="A39" s="293"/>
      <c r="B39" s="73" t="s">
        <v>37</v>
      </c>
      <c r="C39" s="122">
        <v>55000000</v>
      </c>
      <c r="D39" s="383"/>
      <c r="E39" s="93">
        <v>0</v>
      </c>
      <c r="F39" s="101">
        <f t="shared" si="7"/>
        <v>0</v>
      </c>
      <c r="G39" s="385"/>
      <c r="H39" s="401"/>
      <c r="I39" s="53"/>
      <c r="J39" s="93">
        <v>57310000</v>
      </c>
      <c r="K39" s="383"/>
      <c r="L39" s="93">
        <v>0</v>
      </c>
      <c r="M39" s="101">
        <f t="shared" si="8"/>
        <v>0</v>
      </c>
      <c r="N39" s="383"/>
      <c r="O39" s="404"/>
      <c r="P39" s="170"/>
      <c r="Q39" s="167">
        <v>59774330</v>
      </c>
      <c r="R39" s="383"/>
      <c r="S39" s="171">
        <v>0</v>
      </c>
      <c r="T39" s="101">
        <f t="shared" si="9"/>
        <v>0</v>
      </c>
      <c r="U39" s="383"/>
      <c r="V39" s="404"/>
      <c r="W39" s="63"/>
      <c r="X39" s="245">
        <v>62703272</v>
      </c>
      <c r="Y39" s="383"/>
      <c r="Z39" s="245">
        <v>33000000</v>
      </c>
      <c r="AA39" s="104">
        <f t="shared" si="11"/>
        <v>0.52628832511324131</v>
      </c>
      <c r="AB39" s="383"/>
      <c r="AC39" s="387"/>
      <c r="AD39" s="244"/>
      <c r="AE39" s="93">
        <v>234787602</v>
      </c>
      <c r="AF39" s="383"/>
      <c r="AG39" s="114">
        <f t="shared" si="6"/>
        <v>33000000</v>
      </c>
      <c r="AH39" s="116">
        <f t="shared" si="10"/>
        <v>0.14055256631480909</v>
      </c>
      <c r="AI39" s="383"/>
      <c r="AJ39" s="406"/>
    </row>
    <row r="40" spans="1:36" ht="17.25" customHeight="1">
      <c r="A40" s="293"/>
      <c r="B40" s="73" t="s">
        <v>38</v>
      </c>
      <c r="C40" s="122">
        <v>83000000</v>
      </c>
      <c r="D40" s="384"/>
      <c r="E40" s="93">
        <v>271037925</v>
      </c>
      <c r="F40" s="127">
        <f t="shared" si="7"/>
        <v>3.2655171686746987</v>
      </c>
      <c r="G40" s="385"/>
      <c r="H40" s="402"/>
      <c r="I40" s="53"/>
      <c r="J40" s="93">
        <v>86486000</v>
      </c>
      <c r="K40" s="384"/>
      <c r="L40" s="93">
        <v>106133114</v>
      </c>
      <c r="M40" s="103">
        <f t="shared" si="8"/>
        <v>1.2271710334620631</v>
      </c>
      <c r="N40" s="384"/>
      <c r="O40" s="405"/>
      <c r="P40" s="170"/>
      <c r="Q40" s="167">
        <v>90204898</v>
      </c>
      <c r="R40" s="384"/>
      <c r="S40" s="171">
        <v>117083842</v>
      </c>
      <c r="T40" s="103">
        <f t="shared" si="9"/>
        <v>1.297976546683751</v>
      </c>
      <c r="U40" s="384"/>
      <c r="V40" s="405"/>
      <c r="W40" s="63"/>
      <c r="X40" s="245">
        <v>94624938</v>
      </c>
      <c r="Y40" s="384"/>
      <c r="Z40" s="245">
        <v>121698148</v>
      </c>
      <c r="AA40" s="103">
        <f t="shared" si="11"/>
        <v>1.2861107290765148</v>
      </c>
      <c r="AB40" s="384"/>
      <c r="AC40" s="388"/>
      <c r="AD40" s="244"/>
      <c r="AE40" s="93">
        <v>354315836</v>
      </c>
      <c r="AF40" s="384"/>
      <c r="AG40" s="114">
        <f t="shared" si="6"/>
        <v>615953029</v>
      </c>
      <c r="AH40" s="115">
        <f t="shared" si="10"/>
        <v>1.7384292950428555</v>
      </c>
      <c r="AI40" s="384"/>
      <c r="AJ40" s="406"/>
    </row>
    <row r="41" spans="1:36">
      <c r="A41" s="362"/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4"/>
    </row>
    <row r="42" spans="1:36" ht="28.5" customHeight="1">
      <c r="A42" s="321" t="s">
        <v>39</v>
      </c>
      <c r="B42" s="73" t="s">
        <v>40</v>
      </c>
      <c r="C42" s="122">
        <v>233750000</v>
      </c>
      <c r="D42" s="382">
        <f>SUM(C42:C51)</f>
        <v>938225284</v>
      </c>
      <c r="E42" s="93">
        <v>225329478</v>
      </c>
      <c r="F42" s="104">
        <f>E42/C42</f>
        <v>0.9639763764705882</v>
      </c>
      <c r="G42" s="385">
        <f>SUM(E42:E51)</f>
        <v>577907214</v>
      </c>
      <c r="H42" s="410">
        <f>G42/D42</f>
        <v>0.61595783428066297</v>
      </c>
      <c r="I42" s="53"/>
      <c r="J42" s="93">
        <v>362227500</v>
      </c>
      <c r="K42" s="382">
        <f>SUM(J42:J51)</f>
        <v>2409013913</v>
      </c>
      <c r="L42" s="93">
        <v>143681048</v>
      </c>
      <c r="M42" s="101">
        <f t="shared" ref="M42:M51" si="12">L42/J42</f>
        <v>0.3966596903879468</v>
      </c>
      <c r="N42" s="385">
        <f>SUM(L42:L51)</f>
        <v>1075773147</v>
      </c>
      <c r="O42" s="386">
        <f>N42/K42</f>
        <v>0.44656161643347053</v>
      </c>
      <c r="P42" s="170"/>
      <c r="Q42" s="169">
        <v>368628032</v>
      </c>
      <c r="R42" s="382">
        <f>SUM(Q42:Q51)</f>
        <v>2174992573</v>
      </c>
      <c r="S42" s="171">
        <v>207091934</v>
      </c>
      <c r="T42" s="104">
        <f>S42/Q42</f>
        <v>0.56179106313868177</v>
      </c>
      <c r="U42" s="385">
        <f>SUM(S42:S51)</f>
        <v>1617895373</v>
      </c>
      <c r="V42" s="395">
        <f>U42/R42</f>
        <v>0.74386248168581681</v>
      </c>
      <c r="W42" s="63"/>
      <c r="X42" s="245">
        <v>385267056</v>
      </c>
      <c r="Y42" s="382">
        <f>X42+X43+X44+X45+X46+X47+X48+X49+X50+X51</f>
        <v>2154220479</v>
      </c>
      <c r="Z42" s="245">
        <v>101984499</v>
      </c>
      <c r="AA42" s="101">
        <f t="shared" si="11"/>
        <v>0.26471118516813957</v>
      </c>
      <c r="AB42" s="385">
        <f>(Z42+Z43+Z44+Z45+Z46+Z47+Z48+Z49+Z50+Z51)</f>
        <v>993939073</v>
      </c>
      <c r="AC42" s="386">
        <f>AB42/Y42</f>
        <v>0.46139152546789991</v>
      </c>
      <c r="AD42" s="244"/>
      <c r="AE42" s="93">
        <v>1349872589</v>
      </c>
      <c r="AF42" s="382">
        <f>SUM(AE42:AE51)</f>
        <v>7676452312</v>
      </c>
      <c r="AG42" s="114">
        <f t="shared" si="6"/>
        <v>678086959</v>
      </c>
      <c r="AH42" s="117">
        <f t="shared" ref="AH42:AH51" si="13">AG42/AE42</f>
        <v>0.50233404583934405</v>
      </c>
      <c r="AI42" s="382">
        <f>SUM(AG42:AG51)</f>
        <v>4265514807</v>
      </c>
      <c r="AJ42" s="410">
        <f>AI42/AF42</f>
        <v>0.55566225564015459</v>
      </c>
    </row>
    <row r="43" spans="1:36" ht="17.25" customHeight="1">
      <c r="A43" s="321"/>
      <c r="B43" s="73" t="s">
        <v>41</v>
      </c>
      <c r="C43" s="122">
        <v>145918571</v>
      </c>
      <c r="D43" s="383"/>
      <c r="E43" s="93">
        <v>130507428</v>
      </c>
      <c r="F43" s="104">
        <f>E43/C43</f>
        <v>0.89438532124879433</v>
      </c>
      <c r="G43" s="393"/>
      <c r="H43" s="410"/>
      <c r="I43" s="53"/>
      <c r="J43" s="93">
        <v>343831235</v>
      </c>
      <c r="K43" s="383"/>
      <c r="L43" s="93">
        <v>319128466</v>
      </c>
      <c r="M43" s="104">
        <f t="shared" si="12"/>
        <v>0.92815437783015842</v>
      </c>
      <c r="N43" s="385"/>
      <c r="O43" s="387"/>
      <c r="P43" s="170"/>
      <c r="Q43" s="169">
        <v>351314919</v>
      </c>
      <c r="R43" s="383"/>
      <c r="S43" s="171">
        <v>351463914</v>
      </c>
      <c r="T43" s="103">
        <f t="shared" ref="T43:T51" si="14">S43/Q43</f>
        <v>1.0004241066688091</v>
      </c>
      <c r="U43" s="385"/>
      <c r="V43" s="396"/>
      <c r="W43" s="63"/>
      <c r="X43" s="245">
        <v>368529413</v>
      </c>
      <c r="Y43" s="383"/>
      <c r="Z43" s="245">
        <v>235574048</v>
      </c>
      <c r="AA43" s="104">
        <f t="shared" si="11"/>
        <v>0.63922726298104193</v>
      </c>
      <c r="AB43" s="385"/>
      <c r="AC43" s="387"/>
      <c r="AD43" s="244"/>
      <c r="AE43" s="93">
        <v>1209594199</v>
      </c>
      <c r="AF43" s="383"/>
      <c r="AG43" s="114">
        <f t="shared" si="6"/>
        <v>1036673856</v>
      </c>
      <c r="AH43" s="115">
        <f t="shared" si="13"/>
        <v>0.8570426816340907</v>
      </c>
      <c r="AI43" s="383"/>
      <c r="AJ43" s="410"/>
    </row>
    <row r="44" spans="1:36" ht="26.25" customHeight="1">
      <c r="A44" s="321"/>
      <c r="B44" s="73" t="s">
        <v>42</v>
      </c>
      <c r="C44" s="122">
        <v>126000000</v>
      </c>
      <c r="D44" s="383"/>
      <c r="E44" s="93">
        <v>16900000</v>
      </c>
      <c r="F44" s="101">
        <f>E44/C44</f>
        <v>0.13412698412698412</v>
      </c>
      <c r="G44" s="393"/>
      <c r="H44" s="410"/>
      <c r="I44" s="53"/>
      <c r="J44" s="93">
        <v>181292000</v>
      </c>
      <c r="K44" s="383"/>
      <c r="L44" s="93">
        <v>23408736</v>
      </c>
      <c r="M44" s="101">
        <f t="shared" si="12"/>
        <v>0.12912172627584229</v>
      </c>
      <c r="N44" s="385"/>
      <c r="O44" s="387"/>
      <c r="P44" s="170"/>
      <c r="Q44" s="169">
        <v>169972926</v>
      </c>
      <c r="R44" s="383"/>
      <c r="S44" s="171">
        <v>83585000</v>
      </c>
      <c r="T44" s="101">
        <f t="shared" si="14"/>
        <v>0.49175478687705831</v>
      </c>
      <c r="U44" s="385"/>
      <c r="V44" s="396"/>
      <c r="W44" s="63"/>
      <c r="X44" s="245">
        <v>146646599</v>
      </c>
      <c r="Y44" s="383"/>
      <c r="Z44" s="245">
        <v>35000000</v>
      </c>
      <c r="AA44" s="101">
        <f t="shared" si="11"/>
        <v>0.23866901952496014</v>
      </c>
      <c r="AB44" s="385"/>
      <c r="AC44" s="387"/>
      <c r="AD44" s="244"/>
      <c r="AE44" s="93">
        <v>623911525</v>
      </c>
      <c r="AF44" s="383"/>
      <c r="AG44" s="114">
        <f t="shared" si="6"/>
        <v>158893736</v>
      </c>
      <c r="AH44" s="116">
        <f t="shared" si="13"/>
        <v>0.25467350679248951</v>
      </c>
      <c r="AI44" s="383"/>
      <c r="AJ44" s="410"/>
    </row>
    <row r="45" spans="1:36" ht="19.5" customHeight="1">
      <c r="A45" s="321"/>
      <c r="B45" s="73" t="s">
        <v>43</v>
      </c>
      <c r="C45" s="122">
        <v>0</v>
      </c>
      <c r="D45" s="383"/>
      <c r="E45" s="93">
        <v>15500000</v>
      </c>
      <c r="F45" s="103">
        <v>15.5</v>
      </c>
      <c r="G45" s="393"/>
      <c r="H45" s="410"/>
      <c r="I45" s="53"/>
      <c r="J45" s="93">
        <v>10000000</v>
      </c>
      <c r="K45" s="383"/>
      <c r="L45" s="93">
        <v>13459000</v>
      </c>
      <c r="M45" s="103">
        <f t="shared" si="12"/>
        <v>1.3459000000000001</v>
      </c>
      <c r="N45" s="385"/>
      <c r="O45" s="387"/>
      <c r="P45" s="170"/>
      <c r="Q45" s="169">
        <v>20000000</v>
      </c>
      <c r="R45" s="383"/>
      <c r="S45" s="171">
        <v>38088579</v>
      </c>
      <c r="T45" s="103">
        <f t="shared" si="14"/>
        <v>1.90442895</v>
      </c>
      <c r="U45" s="385"/>
      <c r="V45" s="396"/>
      <c r="W45" s="63"/>
      <c r="X45" s="245">
        <v>20980000</v>
      </c>
      <c r="Y45" s="383"/>
      <c r="Z45" s="245">
        <v>0</v>
      </c>
      <c r="AA45" s="101">
        <f>Z45/X45</f>
        <v>0</v>
      </c>
      <c r="AB45" s="385"/>
      <c r="AC45" s="387"/>
      <c r="AD45" s="244"/>
      <c r="AE45" s="93">
        <v>50980000</v>
      </c>
      <c r="AF45" s="383"/>
      <c r="AG45" s="114">
        <f t="shared" si="6"/>
        <v>67047579</v>
      </c>
      <c r="AH45" s="115">
        <f t="shared" si="13"/>
        <v>1.3151741663397412</v>
      </c>
      <c r="AI45" s="383"/>
      <c r="AJ45" s="410"/>
    </row>
    <row r="46" spans="1:36" ht="26.25" customHeight="1">
      <c r="A46" s="321"/>
      <c r="B46" s="73" t="s">
        <v>44</v>
      </c>
      <c r="C46" s="122">
        <v>62000000</v>
      </c>
      <c r="D46" s="383"/>
      <c r="E46" s="93">
        <v>38070000</v>
      </c>
      <c r="F46" s="104">
        <f>E46/C46</f>
        <v>0.61403225806451611</v>
      </c>
      <c r="G46" s="393"/>
      <c r="H46" s="410"/>
      <c r="I46" s="53"/>
      <c r="J46" s="93">
        <v>412504000</v>
      </c>
      <c r="K46" s="383"/>
      <c r="L46" s="93">
        <v>62216340</v>
      </c>
      <c r="M46" s="101">
        <f t="shared" si="12"/>
        <v>0.15082602835366446</v>
      </c>
      <c r="N46" s="385"/>
      <c r="O46" s="387"/>
      <c r="P46" s="170"/>
      <c r="Q46" s="169">
        <v>430241672</v>
      </c>
      <c r="R46" s="383"/>
      <c r="S46" s="171">
        <v>635517504</v>
      </c>
      <c r="T46" s="103">
        <f t="shared" si="14"/>
        <v>1.4771175024626624</v>
      </c>
      <c r="U46" s="385"/>
      <c r="V46" s="396"/>
      <c r="W46" s="63"/>
      <c r="X46" s="245">
        <v>382502114</v>
      </c>
      <c r="Y46" s="383"/>
      <c r="Z46" s="245">
        <v>69497439</v>
      </c>
      <c r="AA46" s="101">
        <f t="shared" si="11"/>
        <v>0.1816916468074736</v>
      </c>
      <c r="AB46" s="385"/>
      <c r="AC46" s="387"/>
      <c r="AD46" s="244"/>
      <c r="AE46" s="93">
        <v>1287247786</v>
      </c>
      <c r="AF46" s="383"/>
      <c r="AG46" s="114">
        <f t="shared" si="6"/>
        <v>805301283</v>
      </c>
      <c r="AH46" s="117">
        <f t="shared" si="13"/>
        <v>0.62559927603557752</v>
      </c>
      <c r="AI46" s="383"/>
      <c r="AJ46" s="410"/>
    </row>
    <row r="47" spans="1:36" ht="16.5" customHeight="1">
      <c r="A47" s="321"/>
      <c r="B47" s="73" t="s">
        <v>45</v>
      </c>
      <c r="C47" s="122">
        <v>28000000</v>
      </c>
      <c r="D47" s="383"/>
      <c r="E47" s="93">
        <v>54499556</v>
      </c>
      <c r="F47" s="103">
        <f>E47/C47</f>
        <v>1.9464127142857144</v>
      </c>
      <c r="G47" s="393"/>
      <c r="H47" s="410"/>
      <c r="I47" s="53"/>
      <c r="J47" s="93">
        <v>253042000</v>
      </c>
      <c r="K47" s="383"/>
      <c r="L47" s="93">
        <v>175755633</v>
      </c>
      <c r="M47" s="104">
        <f t="shared" si="12"/>
        <v>0.69457099216730822</v>
      </c>
      <c r="N47" s="385"/>
      <c r="O47" s="387"/>
      <c r="P47" s="170"/>
      <c r="Q47" s="169">
        <v>213084806</v>
      </c>
      <c r="R47" s="383"/>
      <c r="S47" s="171">
        <v>202123652</v>
      </c>
      <c r="T47" s="104">
        <f t="shared" si="14"/>
        <v>0.94855966408041315</v>
      </c>
      <c r="U47" s="385"/>
      <c r="V47" s="396"/>
      <c r="W47" s="63"/>
      <c r="X47" s="245">
        <v>198079319</v>
      </c>
      <c r="Y47" s="383"/>
      <c r="Z47" s="245">
        <v>444708087</v>
      </c>
      <c r="AA47" s="103">
        <f t="shared" si="11"/>
        <v>2.2451010496456725</v>
      </c>
      <c r="AB47" s="385"/>
      <c r="AC47" s="387"/>
      <c r="AD47" s="244"/>
      <c r="AE47" s="93">
        <v>692206125</v>
      </c>
      <c r="AF47" s="383"/>
      <c r="AG47" s="114">
        <f t="shared" si="6"/>
        <v>877086928</v>
      </c>
      <c r="AH47" s="115">
        <f t="shared" si="13"/>
        <v>1.2670892329940016</v>
      </c>
      <c r="AI47" s="383"/>
      <c r="AJ47" s="410"/>
    </row>
    <row r="48" spans="1:36" ht="25.5" customHeight="1">
      <c r="A48" s="321"/>
      <c r="B48" s="73" t="s">
        <v>46</v>
      </c>
      <c r="C48" s="122">
        <v>95138142</v>
      </c>
      <c r="D48" s="383"/>
      <c r="E48" s="93">
        <v>0</v>
      </c>
      <c r="F48" s="101">
        <f>E48/C48</f>
        <v>0</v>
      </c>
      <c r="G48" s="393"/>
      <c r="H48" s="410"/>
      <c r="I48" s="53"/>
      <c r="J48" s="93">
        <v>149133943</v>
      </c>
      <c r="K48" s="383"/>
      <c r="L48" s="93">
        <v>115630466</v>
      </c>
      <c r="M48" s="104">
        <f t="shared" si="12"/>
        <v>0.7753464011878235</v>
      </c>
      <c r="N48" s="385"/>
      <c r="O48" s="387"/>
      <c r="P48" s="170"/>
      <c r="Q48" s="169">
        <v>103396703</v>
      </c>
      <c r="R48" s="383"/>
      <c r="S48" s="171">
        <v>0</v>
      </c>
      <c r="T48" s="101">
        <f t="shared" si="14"/>
        <v>0</v>
      </c>
      <c r="U48" s="385"/>
      <c r="V48" s="396"/>
      <c r="W48" s="63"/>
      <c r="X48" s="245">
        <v>108463142</v>
      </c>
      <c r="Y48" s="383"/>
      <c r="Z48" s="245">
        <v>0</v>
      </c>
      <c r="AA48" s="101">
        <f>Z48/X48</f>
        <v>0</v>
      </c>
      <c r="AB48" s="385"/>
      <c r="AC48" s="387"/>
      <c r="AD48" s="244"/>
      <c r="AE48" s="93">
        <v>456131930</v>
      </c>
      <c r="AF48" s="383"/>
      <c r="AG48" s="114">
        <f t="shared" si="6"/>
        <v>115630466</v>
      </c>
      <c r="AH48" s="116">
        <f t="shared" si="13"/>
        <v>0.25350224002077643</v>
      </c>
      <c r="AI48" s="383"/>
      <c r="AJ48" s="410"/>
    </row>
    <row r="49" spans="1:36" ht="15.75" customHeight="1">
      <c r="A49" s="321"/>
      <c r="B49" s="73" t="s">
        <v>47</v>
      </c>
      <c r="C49" s="122">
        <v>82918571</v>
      </c>
      <c r="D49" s="383"/>
      <c r="E49" s="93">
        <v>0</v>
      </c>
      <c r="F49" s="101">
        <v>0</v>
      </c>
      <c r="G49" s="393"/>
      <c r="H49" s="410"/>
      <c r="I49" s="53"/>
      <c r="J49" s="93">
        <v>276395235</v>
      </c>
      <c r="K49" s="383"/>
      <c r="L49" s="93">
        <v>0</v>
      </c>
      <c r="M49" s="101">
        <f t="shared" si="12"/>
        <v>0</v>
      </c>
      <c r="N49" s="385"/>
      <c r="O49" s="387"/>
      <c r="P49" s="170"/>
      <c r="Q49" s="169">
        <v>288280231</v>
      </c>
      <c r="R49" s="383"/>
      <c r="S49" s="171">
        <v>0</v>
      </c>
      <c r="T49" s="101">
        <f t="shared" si="14"/>
        <v>0</v>
      </c>
      <c r="U49" s="385"/>
      <c r="V49" s="396"/>
      <c r="W49" s="63"/>
      <c r="X49" s="245">
        <v>302405962</v>
      </c>
      <c r="Y49" s="383"/>
      <c r="Z49" s="245">
        <v>0</v>
      </c>
      <c r="AA49" s="101">
        <f t="shared" si="11"/>
        <v>0</v>
      </c>
      <c r="AB49" s="385"/>
      <c r="AC49" s="387"/>
      <c r="AD49" s="244"/>
      <c r="AE49" s="93">
        <v>950000000</v>
      </c>
      <c r="AF49" s="383"/>
      <c r="AG49" s="114">
        <f t="shared" si="6"/>
        <v>0</v>
      </c>
      <c r="AH49" s="116">
        <f t="shared" si="13"/>
        <v>0</v>
      </c>
      <c r="AI49" s="383"/>
      <c r="AJ49" s="410"/>
    </row>
    <row r="50" spans="1:36" ht="24" customHeight="1">
      <c r="A50" s="321"/>
      <c r="B50" s="73" t="s">
        <v>48</v>
      </c>
      <c r="C50" s="122">
        <v>76000000</v>
      </c>
      <c r="D50" s="383"/>
      <c r="E50" s="93">
        <v>74790692</v>
      </c>
      <c r="F50" s="104">
        <f>E50/C50</f>
        <v>0.98408805263157895</v>
      </c>
      <c r="G50" s="393"/>
      <c r="H50" s="410"/>
      <c r="I50" s="53"/>
      <c r="J50" s="93">
        <v>376042000</v>
      </c>
      <c r="K50" s="383"/>
      <c r="L50" s="93">
        <v>204690807</v>
      </c>
      <c r="M50" s="104">
        <f t="shared" si="12"/>
        <v>0.54432964136984696</v>
      </c>
      <c r="N50" s="385"/>
      <c r="O50" s="387"/>
      <c r="P50" s="170"/>
      <c r="Q50" s="169">
        <v>183611806</v>
      </c>
      <c r="R50" s="383"/>
      <c r="S50" s="171">
        <v>81445790</v>
      </c>
      <c r="T50" s="101">
        <f t="shared" si="14"/>
        <v>0.44357599750421278</v>
      </c>
      <c r="U50" s="385"/>
      <c r="V50" s="396"/>
      <c r="W50" s="63"/>
      <c r="X50" s="245">
        <v>192608784</v>
      </c>
      <c r="Y50" s="383"/>
      <c r="Z50" s="245">
        <v>88625000</v>
      </c>
      <c r="AA50" s="101">
        <f t="shared" si="11"/>
        <v>0.46012958578254665</v>
      </c>
      <c r="AB50" s="385"/>
      <c r="AC50" s="387"/>
      <c r="AD50" s="244"/>
      <c r="AE50" s="93">
        <v>828262590</v>
      </c>
      <c r="AF50" s="383"/>
      <c r="AG50" s="114">
        <f t="shared" si="6"/>
        <v>449552289</v>
      </c>
      <c r="AH50" s="117">
        <f t="shared" si="13"/>
        <v>0.54276541573608916</v>
      </c>
      <c r="AI50" s="383"/>
      <c r="AJ50" s="410"/>
    </row>
    <row r="51" spans="1:36" ht="15" customHeight="1">
      <c r="A51" s="321"/>
      <c r="B51" s="73" t="s">
        <v>49</v>
      </c>
      <c r="C51" s="122">
        <v>88500000</v>
      </c>
      <c r="D51" s="384"/>
      <c r="E51" s="93">
        <v>22310060</v>
      </c>
      <c r="F51" s="103">
        <f>E51/C51</f>
        <v>0.2520910734463277</v>
      </c>
      <c r="G51" s="393"/>
      <c r="H51" s="410"/>
      <c r="I51" s="53"/>
      <c r="J51" s="93">
        <v>44546000</v>
      </c>
      <c r="K51" s="384"/>
      <c r="L51" s="93">
        <v>17802651</v>
      </c>
      <c r="M51" s="101">
        <f t="shared" si="12"/>
        <v>0.39964645534952631</v>
      </c>
      <c r="N51" s="385"/>
      <c r="O51" s="388"/>
      <c r="P51" s="170"/>
      <c r="Q51" s="169">
        <v>46461478</v>
      </c>
      <c r="R51" s="384"/>
      <c r="S51" s="171">
        <v>18579000</v>
      </c>
      <c r="T51" s="101">
        <f t="shared" si="14"/>
        <v>0.39987965944604692</v>
      </c>
      <c r="U51" s="385"/>
      <c r="V51" s="397"/>
      <c r="W51" s="63"/>
      <c r="X51" s="245">
        <v>48738090</v>
      </c>
      <c r="Y51" s="384"/>
      <c r="Z51" s="245">
        <v>18550000</v>
      </c>
      <c r="AA51" s="101">
        <f t="shared" si="11"/>
        <v>0.38060580543882616</v>
      </c>
      <c r="AB51" s="385"/>
      <c r="AC51" s="388"/>
      <c r="AD51" s="244"/>
      <c r="AE51" s="93">
        <v>228245568</v>
      </c>
      <c r="AF51" s="384"/>
      <c r="AG51" s="114">
        <f t="shared" si="6"/>
        <v>77241711</v>
      </c>
      <c r="AH51" s="116">
        <f t="shared" si="13"/>
        <v>0.33841494350505857</v>
      </c>
      <c r="AI51" s="384"/>
      <c r="AJ51" s="410"/>
    </row>
    <row r="52" spans="1:36">
      <c r="A52" s="362"/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4"/>
    </row>
    <row r="53" spans="1:36">
      <c r="A53" s="39" t="s">
        <v>59</v>
      </c>
      <c r="B53" s="39"/>
      <c r="C53" s="389">
        <f>C7+C9+C10+C11+C12+C14+C15+C17+C18+C19+C20+C22+C23+C24+C25+C26+C27+C28+C29+C30+C31+C32+C33+C35+C36+C37+C38+C39+C40+C42+C43+C44+C45+C46+C47+C48+C49+C50+C51</f>
        <v>12495318735</v>
      </c>
      <c r="D53" s="390"/>
      <c r="E53" s="407">
        <f>G7+G9+G14+G17+G22+G35+G42</f>
        <v>6700098449</v>
      </c>
      <c r="F53" s="408"/>
      <c r="G53" s="409"/>
      <c r="H53" s="125">
        <f>E53/C53</f>
        <v>0.5362086867166258</v>
      </c>
      <c r="I53" s="53"/>
      <c r="J53" s="389">
        <f>J7+J9+J10+J11+J12+J14+J15+J17+J18+J19+J20+J22+J23+J24+J25+J26+J27+J28+J29+J30+J31+J32+J33+J35+J36+J37+J38+J39+J40+J42+J43+J44+J45+J46+J47+J48+J49+J50+J51</f>
        <v>15713811273</v>
      </c>
      <c r="K53" s="390"/>
      <c r="L53" s="391">
        <f>(N7+N9+N14+N17+N22+N35+N42)</f>
        <v>8254985475</v>
      </c>
      <c r="M53" s="391"/>
      <c r="N53" s="391"/>
      <c r="O53" s="168">
        <f>L53/J53</f>
        <v>0.52533311820945661</v>
      </c>
      <c r="P53" s="170"/>
      <c r="Q53" s="389">
        <f>SUM(R7+R9+R14+R17+R22+R35+R42)</f>
        <v>16013591513</v>
      </c>
      <c r="R53" s="390"/>
      <c r="S53" s="391">
        <f>(U7+U9+U14+U17+U22+U35+U42)</f>
        <v>11876877430</v>
      </c>
      <c r="T53" s="391"/>
      <c r="U53" s="391"/>
      <c r="V53" s="179">
        <f>S53/Q53</f>
        <v>0.74167480919931217</v>
      </c>
      <c r="W53" s="63"/>
      <c r="X53" s="389">
        <f>Y7+Y9+Y14+Y17+Y22+Y35+Y42</f>
        <v>16622098499</v>
      </c>
      <c r="Y53" s="390"/>
      <c r="Z53" s="391"/>
      <c r="AA53" s="391"/>
      <c r="AB53" s="391"/>
      <c r="AC53" s="177">
        <f>(AC7+AC9+AC14+AC17+AC22+AC35+AC42)/7</f>
        <v>0.34021071263956543</v>
      </c>
      <c r="AD53" s="244"/>
      <c r="AE53" s="389">
        <f>AE7+AE9+AE10+AE11+AE12+AE14+AE15+AE17+AE18+AE19+AE20+AE22+AE23+AE24+AE25+AE26+AE27+AE28+AE29+AE30+AE31+AE32+AE33+AE35+AE36+AE37+AE38+AE39+AE40+AE42+AE43+AE44+AE45+AE46+AE47+AE48+AE49+AE50+AE51</f>
        <v>60892529206</v>
      </c>
      <c r="AF53" s="390"/>
      <c r="AG53" s="391">
        <f>(AI7+AI9+AI14+AI17+AI22+AI35+AI42)</f>
        <v>34486639690</v>
      </c>
      <c r="AH53" s="391"/>
      <c r="AI53" s="391"/>
      <c r="AJ53" s="180">
        <f>AG53/AE53</f>
        <v>0.56635255818216013</v>
      </c>
    </row>
    <row r="55" spans="1:36">
      <c r="B55" s="100"/>
      <c r="C55" s="398">
        <v>10247000000</v>
      </c>
      <c r="D55" s="398"/>
    </row>
    <row r="56" spans="1:36">
      <c r="G56" s="119"/>
      <c r="AI56" s="119"/>
    </row>
    <row r="61" spans="1:36">
      <c r="A61" s="17"/>
      <c r="B61" s="17"/>
      <c r="C61" s="99"/>
      <c r="D61" s="99"/>
      <c r="E61" s="96"/>
      <c r="F61" s="89"/>
      <c r="G61" s="17"/>
      <c r="H61" s="89"/>
      <c r="I61" s="17"/>
      <c r="J61" s="17"/>
      <c r="K61" s="17"/>
      <c r="L61" s="17"/>
      <c r="M61" s="89"/>
      <c r="N61" s="17"/>
      <c r="O61" s="89"/>
      <c r="P61" s="89"/>
      <c r="Q61" s="89"/>
      <c r="R61" s="89"/>
      <c r="S61" s="89"/>
      <c r="T61" s="89"/>
      <c r="U61" s="89"/>
      <c r="V61" s="8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89"/>
      <c r="AI61" s="17"/>
      <c r="AJ61" s="89"/>
    </row>
    <row r="62" spans="1:36">
      <c r="A62" s="17"/>
      <c r="B62" s="17"/>
      <c r="C62" s="99"/>
      <c r="D62" s="99"/>
      <c r="E62" s="96"/>
      <c r="F62" s="89"/>
      <c r="G62" s="17"/>
      <c r="H62" s="89"/>
      <c r="I62" s="17"/>
      <c r="J62" s="17"/>
      <c r="K62" s="17"/>
      <c r="L62" s="17"/>
      <c r="M62" s="89"/>
      <c r="N62" s="17"/>
      <c r="O62" s="89"/>
      <c r="P62" s="89"/>
      <c r="Q62" s="89"/>
      <c r="R62" s="89"/>
      <c r="S62" s="89"/>
      <c r="T62" s="89"/>
      <c r="U62" s="89"/>
      <c r="V62" s="89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89"/>
      <c r="AI62" s="17"/>
      <c r="AJ62" s="89"/>
    </row>
  </sheetData>
  <mergeCells count="128">
    <mergeCell ref="R35:R40"/>
    <mergeCell ref="A1:H1"/>
    <mergeCell ref="A2:H2"/>
    <mergeCell ref="K9:K12"/>
    <mergeCell ref="A4:A5"/>
    <mergeCell ref="B4:B5"/>
    <mergeCell ref="A6:AJ6"/>
    <mergeCell ref="A9:A12"/>
    <mergeCell ref="AI9:AI12"/>
    <mergeCell ref="AJ9:AJ12"/>
    <mergeCell ref="D9:D12"/>
    <mergeCell ref="C4:H4"/>
    <mergeCell ref="J4:O4"/>
    <mergeCell ref="AE4:AJ4"/>
    <mergeCell ref="AF9:AF12"/>
    <mergeCell ref="H9:H12"/>
    <mergeCell ref="N9:N12"/>
    <mergeCell ref="O9:O12"/>
    <mergeCell ref="A16:AJ16"/>
    <mergeCell ref="A17:A20"/>
    <mergeCell ref="G17:G20"/>
    <mergeCell ref="H17:H20"/>
    <mergeCell ref="N17:N20"/>
    <mergeCell ref="D17:D20"/>
    <mergeCell ref="AI17:AI20"/>
    <mergeCell ref="AJ17:AJ20"/>
    <mergeCell ref="R17:R20"/>
    <mergeCell ref="U17:U20"/>
    <mergeCell ref="V17:V20"/>
    <mergeCell ref="O17:O20"/>
    <mergeCell ref="AF17:AF20"/>
    <mergeCell ref="K17:K20"/>
    <mergeCell ref="O22:O33"/>
    <mergeCell ref="AI22:AI33"/>
    <mergeCell ref="A41:AJ41"/>
    <mergeCell ref="K42:K51"/>
    <mergeCell ref="K22:K33"/>
    <mergeCell ref="K35:K40"/>
    <mergeCell ref="AJ42:AJ51"/>
    <mergeCell ref="D42:D51"/>
    <mergeCell ref="D22:D33"/>
    <mergeCell ref="A42:A51"/>
    <mergeCell ref="G42:G51"/>
    <mergeCell ref="H42:H51"/>
    <mergeCell ref="N42:N51"/>
    <mergeCell ref="O42:O51"/>
    <mergeCell ref="A34:AJ34"/>
    <mergeCell ref="A35:A40"/>
    <mergeCell ref="G35:G40"/>
    <mergeCell ref="AF22:AF33"/>
    <mergeCell ref="AF35:AF40"/>
    <mergeCell ref="A22:A33"/>
    <mergeCell ref="G22:G33"/>
    <mergeCell ref="H22:H33"/>
    <mergeCell ref="N22:N33"/>
    <mergeCell ref="Y35:Y40"/>
    <mergeCell ref="AB35:AB40"/>
    <mergeCell ref="AC35:AC40"/>
    <mergeCell ref="H14:H15"/>
    <mergeCell ref="N14:N15"/>
    <mergeCell ref="K14:K15"/>
    <mergeCell ref="O14:O15"/>
    <mergeCell ref="J1:O1"/>
    <mergeCell ref="J2:O2"/>
    <mergeCell ref="Q4:V4"/>
    <mergeCell ref="Q1:V1"/>
    <mergeCell ref="Q2:V2"/>
    <mergeCell ref="A13:AJ13"/>
    <mergeCell ref="A14:A15"/>
    <mergeCell ref="G9:G12"/>
    <mergeCell ref="R9:R12"/>
    <mergeCell ref="U9:U12"/>
    <mergeCell ref="R14:R15"/>
    <mergeCell ref="V9:V12"/>
    <mergeCell ref="U14:U15"/>
    <mergeCell ref="V14:V15"/>
    <mergeCell ref="AI14:AI15"/>
    <mergeCell ref="AJ14:AJ15"/>
    <mergeCell ref="AF14:AF15"/>
    <mergeCell ref="X4:AC4"/>
    <mergeCell ref="C55:D55"/>
    <mergeCell ref="AJ22:AJ33"/>
    <mergeCell ref="H35:H40"/>
    <mergeCell ref="N35:N40"/>
    <mergeCell ref="O35:O40"/>
    <mergeCell ref="AI35:AI40"/>
    <mergeCell ref="AJ35:AJ40"/>
    <mergeCell ref="AI42:AI51"/>
    <mergeCell ref="J53:K53"/>
    <mergeCell ref="AE53:AF53"/>
    <mergeCell ref="A52:AJ52"/>
    <mergeCell ref="E53:G53"/>
    <mergeCell ref="AG53:AI53"/>
    <mergeCell ref="L53:N53"/>
    <mergeCell ref="C53:D53"/>
    <mergeCell ref="D35:D40"/>
    <mergeCell ref="Q53:R53"/>
    <mergeCell ref="S53:U53"/>
    <mergeCell ref="U35:U40"/>
    <mergeCell ref="V35:V40"/>
    <mergeCell ref="R42:R51"/>
    <mergeCell ref="U42:U51"/>
    <mergeCell ref="V42:V51"/>
    <mergeCell ref="AF42:AF51"/>
    <mergeCell ref="Y42:Y51"/>
    <mergeCell ref="AB42:AB51"/>
    <mergeCell ref="AC42:AC51"/>
    <mergeCell ref="X53:Y53"/>
    <mergeCell ref="Z53:AB53"/>
    <mergeCell ref="AB9:AB12"/>
    <mergeCell ref="AC9:AC12"/>
    <mergeCell ref="X8:AC8"/>
    <mergeCell ref="Y9:Y12"/>
    <mergeCell ref="Y14:Y15"/>
    <mergeCell ref="AB14:AB15"/>
    <mergeCell ref="AC14:AC15"/>
    <mergeCell ref="Y17:Y20"/>
    <mergeCell ref="AB17:AB20"/>
    <mergeCell ref="AC17:AC20"/>
    <mergeCell ref="Y22:Y33"/>
    <mergeCell ref="AB22:AB33"/>
    <mergeCell ref="AC22:AC33"/>
    <mergeCell ref="A21:AJ21"/>
    <mergeCell ref="R22:R33"/>
    <mergeCell ref="U22:U33"/>
    <mergeCell ref="V22:V33"/>
    <mergeCell ref="D14:D15"/>
    <mergeCell ref="G14:G1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11</vt:i4>
      </vt:variant>
    </vt:vector>
  </HeadingPairs>
  <TitlesOfParts>
    <vt:vector size="25" baseType="lpstr">
      <vt:lpstr>2019 (2)</vt:lpstr>
      <vt:lpstr>2017</vt:lpstr>
      <vt:lpstr>2017 (semestres)</vt:lpstr>
      <vt:lpstr>ACUMULADO</vt:lpstr>
      <vt:lpstr>2018</vt:lpstr>
      <vt:lpstr>2018 (semestres)</vt:lpstr>
      <vt:lpstr>2019</vt:lpstr>
      <vt:lpstr>2019 (semestres)</vt:lpstr>
      <vt:lpstr>PRESUPUESTAL</vt:lpstr>
      <vt:lpstr>EV. DEPEND</vt:lpstr>
      <vt:lpstr>X DEPEND</vt:lpstr>
      <vt:lpstr>GRÁFICO</vt:lpstr>
      <vt:lpstr>Hoja1</vt:lpstr>
      <vt:lpstr>PPTO S.A.N.R</vt:lpstr>
      <vt:lpstr>'2017'!Títulos_a_imprimir</vt:lpstr>
      <vt:lpstr>'2017 (semestres)'!Títulos_a_imprimir</vt:lpstr>
      <vt:lpstr>'2018'!Títulos_a_imprimir</vt:lpstr>
      <vt:lpstr>'2018 (semestres)'!Títulos_a_imprimir</vt:lpstr>
      <vt:lpstr>'2019'!Títulos_a_imprimir</vt:lpstr>
      <vt:lpstr>'2019 (2)'!Títulos_a_imprimir</vt:lpstr>
      <vt:lpstr>'2019 (semestres)'!Títulos_a_imprimir</vt:lpstr>
      <vt:lpstr>ACUMULADO!Títulos_a_imprimir</vt:lpstr>
      <vt:lpstr>'EV. DEPEND'!Títulos_a_imprimir</vt:lpstr>
      <vt:lpstr>GRÁFICO!Títulos_a_imprimir</vt:lpstr>
      <vt:lpstr>'X DEPEND'!Títulos_a_imprimir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Control Interno</cp:lastModifiedBy>
  <cp:lastPrinted>2019-08-27T16:52:51Z</cp:lastPrinted>
  <dcterms:created xsi:type="dcterms:W3CDTF">2017-07-28T17:18:26Z</dcterms:created>
  <dcterms:modified xsi:type="dcterms:W3CDTF">2020-02-04T15:21:30Z</dcterms:modified>
</cp:coreProperties>
</file>